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hidePivotFieldList="1" defaultThemeVersion="124226"/>
  <mc:AlternateContent xmlns:mc="http://schemas.openxmlformats.org/markup-compatibility/2006">
    <mc:Choice Requires="x15">
      <x15ac:absPath xmlns:x15ac="http://schemas.microsoft.com/office/spreadsheetml/2010/11/ac" url="C:\Users\jorguz\Documents\Loteria\2024\Julio\17\Yurani matrices\"/>
    </mc:Choice>
  </mc:AlternateContent>
  <bookViews>
    <workbookView xWindow="0" yWindow="0" windowWidth="17256" windowHeight="5640" tabRatio="733" firstSheet="1" activeTab="1"/>
  </bookViews>
  <sheets>
    <sheet name="SAGRILAFT" sheetId="11" state="hidden" r:id="rId1"/>
    <sheet name="LA-FT-FPADM" sheetId="31" r:id="rId2"/>
    <sheet name="Tablas1" sheetId="15" r:id="rId3"/>
    <sheet name="Puntuaciones" sheetId="21" r:id="rId4"/>
    <sheet name="Hoja2" sheetId="26" state="hidden" r:id="rId5"/>
    <sheet name="Hoja3" sheetId="27" state="hidden" r:id="rId6"/>
    <sheet name="Hoja4" sheetId="28" state="hidden" r:id="rId7"/>
    <sheet name="Hoja5" sheetId="29" state="hidden" r:id="rId8"/>
    <sheet name="Hoja6" sheetId="30" state="hidden" r:id="rId9"/>
    <sheet name="R I" sheetId="6" r:id="rId10"/>
    <sheet name="R I (2)" sheetId="23" state="hidden" r:id="rId11"/>
    <sheet name="RI Consolidado por FR" sheetId="14" r:id="rId12"/>
    <sheet name="Controles" sheetId="19" r:id="rId13"/>
    <sheet name="R R" sheetId="17" r:id="rId14"/>
    <sheet name="RR Consolidado por FR" sheetId="20" r:id="rId15"/>
    <sheet name="Mapa de riesgo" sheetId="12" r:id="rId16"/>
    <sheet name="Tablas" sheetId="8" state="veryHidden" r:id="rId17"/>
  </sheets>
  <definedNames>
    <definedName name="_xlnm._FilterDatabase" localSheetId="12" hidden="1">Controles!$A$8:$AP$44</definedName>
    <definedName name="_xlnm._FilterDatabase" localSheetId="9" hidden="1">'R I'!$B$6:$AM$20</definedName>
    <definedName name="_xlnm._FilterDatabase" localSheetId="10" hidden="1">'R I (2)'!$B$1:$AH$89</definedName>
    <definedName name="_xlnm._FilterDatabase" localSheetId="13" hidden="1">'R R'!$B$5:$X$23</definedName>
    <definedName name="_xlnm.Print_Area" localSheetId="2">Tablas1!$B$2:$M$38</definedName>
    <definedName name="codeve" localSheetId="1">#REF!</definedName>
    <definedName name="codeve">#REF!</definedName>
    <definedName name="CODIGOPROCESO">Tablas!$B$2:$B$13</definedName>
    <definedName name="codr" localSheetId="10">'R I (2)'!$E$2:$X$1048576</definedName>
    <definedName name="codr">'R I'!$E$7:$AC$1048576</definedName>
    <definedName name="CONSECUENCIAS">Tablas!$F$2:$F$12</definedName>
    <definedName name="ctrl">Controles!$B$9:$AE$1048576</definedName>
    <definedName name="ESTADOS">Tablas!$G$2:$G$6</definedName>
    <definedName name="Factorderiesgo">Tablas!$E$2:$E$5</definedName>
    <definedName name="FACTORES">Tablas!$E$2:$E$5</definedName>
    <definedName name="Factoresriesgo">Tablas!$E$2:$E$5</definedName>
    <definedName name="MEDIDAS" localSheetId="1">'Mapa de riesgo'!#REF!</definedName>
    <definedName name="MEDIDAS">'Mapa de riesgo'!#REF!</definedName>
    <definedName name="pr">Controles!$AO$9:$AP$12</definedName>
    <definedName name="PROCESOS">Tablas!$A$2:$A$13</definedName>
    <definedName name="RIEGO">Tablas1!$B$30:$C$33</definedName>
    <definedName name="SUBPROCESOS">Tablas!$C$2:$C$26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9" i="17" l="1"/>
  <c r="E11" i="17" l="1"/>
  <c r="E12" i="17"/>
  <c r="E13" i="17"/>
  <c r="E14" i="17"/>
  <c r="E15" i="17"/>
  <c r="E16" i="17"/>
  <c r="E17" i="17"/>
  <c r="E18" i="17"/>
  <c r="E19" i="17"/>
  <c r="E20" i="17"/>
  <c r="E21" i="17"/>
  <c r="E22" i="17"/>
  <c r="E23" i="17"/>
  <c r="E10" i="17"/>
  <c r="E9" i="17"/>
  <c r="D19" i="17"/>
  <c r="D20" i="17"/>
  <c r="D21" i="17"/>
  <c r="D22" i="17"/>
  <c r="D23" i="17"/>
  <c r="C19" i="17"/>
  <c r="C20" i="17"/>
  <c r="C21" i="17"/>
  <c r="C22" i="17"/>
  <c r="C23" i="17"/>
  <c r="D14" i="17"/>
  <c r="D15" i="17"/>
  <c r="D16" i="17"/>
  <c r="D17" i="17"/>
  <c r="D18" i="17"/>
  <c r="C14" i="17"/>
  <c r="C15" i="17"/>
  <c r="C16" i="17"/>
  <c r="C17" i="17"/>
  <c r="C18" i="17"/>
  <c r="D13" i="17"/>
  <c r="C13" i="17"/>
  <c r="AD45" i="19"/>
  <c r="AD33" i="19"/>
  <c r="AD31" i="19"/>
  <c r="AD30" i="19"/>
  <c r="AD41" i="19"/>
  <c r="AD42" i="19"/>
  <c r="AB46" i="19"/>
  <c r="X46" i="19"/>
  <c r="T46" i="19"/>
  <c r="AB45" i="19"/>
  <c r="X45" i="19"/>
  <c r="T45" i="19"/>
  <c r="R21" i="6"/>
  <c r="U21" i="6" s="1"/>
  <c r="P21" i="6"/>
  <c r="I21" i="6"/>
  <c r="H21" i="6"/>
  <c r="E21" i="6"/>
  <c r="AC46" i="19" l="1"/>
  <c r="AC45" i="19"/>
  <c r="AE45" i="19" s="1"/>
  <c r="S21" i="6"/>
  <c r="T21" i="6"/>
  <c r="V21" i="6"/>
  <c r="AE30" i="19"/>
  <c r="AA21" i="6" l="1"/>
  <c r="AB21" i="6" s="1"/>
  <c r="AC21" i="6" s="1"/>
  <c r="R17" i="6"/>
  <c r="V17" i="6" s="1"/>
  <c r="P17" i="6"/>
  <c r="I17" i="6"/>
  <c r="H17" i="6"/>
  <c r="E17" i="6"/>
  <c r="S17" i="6" l="1"/>
  <c r="U17" i="6"/>
  <c r="T17" i="6"/>
  <c r="AA17" i="6" l="1"/>
  <c r="AB17" i="6" s="1"/>
  <c r="AC17" i="6" s="1"/>
  <c r="G69" i="23" l="1"/>
  <c r="G68" i="23"/>
  <c r="G67" i="23"/>
  <c r="G66" i="23"/>
  <c r="E20" i="6" l="1"/>
  <c r="E19" i="6"/>
  <c r="I20" i="6" l="1"/>
  <c r="H20" i="6"/>
  <c r="R20" i="6"/>
  <c r="V20" i="6" s="1"/>
  <c r="P20" i="6"/>
  <c r="I19" i="6"/>
  <c r="H19" i="6"/>
  <c r="R19" i="6"/>
  <c r="V19" i="6" s="1"/>
  <c r="P19" i="6"/>
  <c r="I18" i="6"/>
  <c r="H18" i="6"/>
  <c r="R18" i="6"/>
  <c r="U18" i="6" s="1"/>
  <c r="P18" i="6"/>
  <c r="I16" i="6"/>
  <c r="H16" i="6"/>
  <c r="R16" i="6"/>
  <c r="V16" i="6" s="1"/>
  <c r="P16" i="6"/>
  <c r="I13" i="6"/>
  <c r="H13" i="6"/>
  <c r="I15" i="6"/>
  <c r="H15" i="6"/>
  <c r="I14" i="6"/>
  <c r="H14" i="6"/>
  <c r="R13" i="6"/>
  <c r="T13" i="6" s="1"/>
  <c r="P13" i="6"/>
  <c r="I12" i="6"/>
  <c r="H12" i="6"/>
  <c r="R12" i="6"/>
  <c r="V12" i="6" s="1"/>
  <c r="P12" i="6"/>
  <c r="R8" i="6"/>
  <c r="V8" i="6" s="1"/>
  <c r="P8" i="6"/>
  <c r="I8" i="6"/>
  <c r="H8" i="6"/>
  <c r="E8" i="6"/>
  <c r="R11" i="6"/>
  <c r="V11" i="6" s="1"/>
  <c r="P11" i="6"/>
  <c r="I11" i="6"/>
  <c r="H11" i="6"/>
  <c r="E11" i="6"/>
  <c r="I10" i="6"/>
  <c r="I9" i="6"/>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H7" i="23"/>
  <c r="H6" i="23"/>
  <c r="H5" i="23"/>
  <c r="H4" i="23"/>
  <c r="H3" i="23"/>
  <c r="H2" i="23"/>
  <c r="I7" i="6"/>
  <c r="H10" i="6"/>
  <c r="R10" i="6"/>
  <c r="V10" i="6" s="1"/>
  <c r="H9" i="6"/>
  <c r="V18" i="6" l="1"/>
  <c r="T18" i="6"/>
  <c r="T20" i="6"/>
  <c r="S20" i="6"/>
  <c r="U20" i="6"/>
  <c r="S19" i="6"/>
  <c r="T19" i="6"/>
  <c r="U19" i="6"/>
  <c r="S18" i="6"/>
  <c r="S13" i="6"/>
  <c r="U13" i="6"/>
  <c r="V13" i="6"/>
  <c r="S16" i="6"/>
  <c r="T16" i="6"/>
  <c r="U16" i="6"/>
  <c r="S12" i="6"/>
  <c r="T12" i="6"/>
  <c r="U12" i="6"/>
  <c r="S8" i="6"/>
  <c r="T8" i="6"/>
  <c r="U8" i="6"/>
  <c r="S11" i="6"/>
  <c r="T11" i="6"/>
  <c r="U11" i="6"/>
  <c r="S10" i="6"/>
  <c r="T10" i="6"/>
  <c r="U10" i="6"/>
  <c r="P7" i="6"/>
  <c r="M37" i="12"/>
  <c r="L37" i="12"/>
  <c r="M4" i="12"/>
  <c r="L4" i="12"/>
  <c r="AC35" i="12"/>
  <c r="AC34" i="12"/>
  <c r="AE2" i="12"/>
  <c r="AD2" i="12" s="1"/>
  <c r="AE1" i="12"/>
  <c r="AD1" i="12" s="1"/>
  <c r="Z4" i="12"/>
  <c r="Y4" i="12" s="1"/>
  <c r="Z3" i="12"/>
  <c r="Y3" i="12" s="1"/>
  <c r="Z2" i="12"/>
  <c r="Y2" i="12" s="1"/>
  <c r="Z1" i="12"/>
  <c r="Y1" i="12" s="1"/>
  <c r="AA19" i="6" l="1"/>
  <c r="AB19" i="6" s="1"/>
  <c r="AC19" i="6" s="1"/>
  <c r="AA20" i="6"/>
  <c r="AB20" i="6" s="1"/>
  <c r="AC20" i="6" s="1"/>
  <c r="AA11" i="6"/>
  <c r="AB11" i="6" s="1"/>
  <c r="AC11" i="6" s="1"/>
  <c r="L9" i="20"/>
  <c r="L8" i="20"/>
  <c r="L7" i="20"/>
  <c r="L6" i="20"/>
  <c r="P9" i="6" l="1"/>
  <c r="P10" i="6"/>
  <c r="L10" i="17" l="1"/>
  <c r="M10" i="17"/>
  <c r="N10" i="17"/>
  <c r="O10" i="17"/>
  <c r="L11" i="17"/>
  <c r="M11" i="17"/>
  <c r="N11" i="17"/>
  <c r="O11" i="17"/>
  <c r="L12" i="17"/>
  <c r="M12" i="17"/>
  <c r="N12" i="17"/>
  <c r="O12" i="17"/>
  <c r="L13" i="17"/>
  <c r="M13" i="17"/>
  <c r="N13" i="17"/>
  <c r="O13" i="17"/>
  <c r="L14" i="17"/>
  <c r="M14" i="17"/>
  <c r="N14" i="17"/>
  <c r="O14" i="17"/>
  <c r="L15" i="17"/>
  <c r="M15" i="17"/>
  <c r="N15" i="17"/>
  <c r="O15" i="17"/>
  <c r="L16" i="17"/>
  <c r="M16" i="17"/>
  <c r="N16" i="17"/>
  <c r="O16" i="17"/>
  <c r="L17" i="17"/>
  <c r="M17" i="17"/>
  <c r="N17" i="17"/>
  <c r="O17" i="17"/>
  <c r="L18" i="17"/>
  <c r="M18" i="17"/>
  <c r="N18" i="17"/>
  <c r="O18" i="17"/>
  <c r="L19" i="17"/>
  <c r="M19" i="17"/>
  <c r="N19" i="17"/>
  <c r="O19" i="17"/>
  <c r="L20" i="17"/>
  <c r="M20" i="17"/>
  <c r="N20" i="17"/>
  <c r="O20" i="17"/>
  <c r="L21" i="17"/>
  <c r="M21" i="17"/>
  <c r="N21" i="17"/>
  <c r="O21" i="17"/>
  <c r="L22" i="17"/>
  <c r="M22" i="17"/>
  <c r="N22" i="17"/>
  <c r="O22" i="17"/>
  <c r="L23" i="17"/>
  <c r="M23" i="17"/>
  <c r="N23" i="17"/>
  <c r="O23" i="17"/>
  <c r="M9" i="17"/>
  <c r="N9" i="17"/>
  <c r="O9" i="17"/>
  <c r="L9" i="17"/>
  <c r="M9" i="14"/>
  <c r="M8" i="14"/>
  <c r="M7" i="14"/>
  <c r="M6" i="14"/>
  <c r="L6" i="14"/>
  <c r="L7" i="14"/>
  <c r="L8" i="14"/>
  <c r="L9" i="14"/>
  <c r="C10" i="14"/>
  <c r="C9" i="14" l="1"/>
  <c r="B9" i="20"/>
  <c r="AV10" i="19" l="1"/>
  <c r="AV11" i="19"/>
  <c r="AV12" i="19"/>
  <c r="AV9" i="19"/>
  <c r="D10" i="17" l="1"/>
  <c r="D11" i="17"/>
  <c r="D12" i="17"/>
  <c r="B10" i="17"/>
  <c r="B11" i="17"/>
  <c r="B12" i="17"/>
  <c r="B13" i="17"/>
  <c r="B14" i="17"/>
  <c r="B15" i="17"/>
  <c r="B16" i="17"/>
  <c r="B17" i="17"/>
  <c r="B18" i="17"/>
  <c r="B19" i="17"/>
  <c r="B20" i="17"/>
  <c r="B21" i="17"/>
  <c r="B22" i="17"/>
  <c r="B23" i="17"/>
  <c r="C10" i="17"/>
  <c r="C11" i="17"/>
  <c r="C12" i="17"/>
  <c r="D9" i="17"/>
  <c r="C9" i="17"/>
  <c r="B9" i="17"/>
  <c r="R15" i="6"/>
  <c r="U15" i="6" s="1"/>
  <c r="R14" i="6"/>
  <c r="U14" i="6" s="1"/>
  <c r="R9" i="6"/>
  <c r="U9" i="6" s="1"/>
  <c r="R7" i="6"/>
  <c r="V7" i="6" s="1"/>
  <c r="S7" i="6" l="1"/>
  <c r="S9" i="6"/>
  <c r="V15" i="6"/>
  <c r="S15" i="6"/>
  <c r="T15" i="6"/>
  <c r="S14" i="6"/>
  <c r="T14" i="6"/>
  <c r="V14" i="6"/>
  <c r="V9" i="6"/>
  <c r="T7" i="6"/>
  <c r="U7" i="6"/>
  <c r="T9" i="6"/>
  <c r="AA18" i="6" l="1"/>
  <c r="AB18" i="6" s="1"/>
  <c r="AC18" i="6" s="1"/>
  <c r="AA10" i="6"/>
  <c r="AA15" i="6"/>
  <c r="AB15" i="6" s="1"/>
  <c r="AC15" i="6" s="1"/>
  <c r="AA12" i="6"/>
  <c r="AB12" i="6" s="1"/>
  <c r="AC12" i="6" s="1"/>
  <c r="AA14" i="6"/>
  <c r="AB14" i="6" s="1"/>
  <c r="AC14" i="6" s="1"/>
  <c r="AA16" i="6"/>
  <c r="AB16" i="6" s="1"/>
  <c r="AC16" i="6" s="1"/>
  <c r="AA9" i="6"/>
  <c r="AA8" i="6"/>
  <c r="AA13" i="6"/>
  <c r="O89" i="23"/>
  <c r="G89" i="23"/>
  <c r="E89" i="23"/>
  <c r="O88" i="23"/>
  <c r="G88" i="23"/>
  <c r="E88" i="23"/>
  <c r="O87" i="23"/>
  <c r="G87" i="23"/>
  <c r="E87" i="23"/>
  <c r="O86" i="23"/>
  <c r="G86" i="23"/>
  <c r="E86" i="23"/>
  <c r="O85" i="23"/>
  <c r="G85" i="23"/>
  <c r="E85" i="23"/>
  <c r="O84" i="23"/>
  <c r="G84" i="23"/>
  <c r="E84" i="23"/>
  <c r="O83" i="23"/>
  <c r="G83" i="23"/>
  <c r="E83" i="23"/>
  <c r="O82" i="23"/>
  <c r="G82" i="23"/>
  <c r="E82" i="23"/>
  <c r="O81" i="23"/>
  <c r="G81" i="23"/>
  <c r="E81" i="23"/>
  <c r="O80" i="23"/>
  <c r="G80" i="23"/>
  <c r="E80" i="23"/>
  <c r="O79" i="23"/>
  <c r="G79" i="23"/>
  <c r="E79" i="23"/>
  <c r="O78" i="23"/>
  <c r="G78" i="23"/>
  <c r="E78" i="23"/>
  <c r="O77" i="23"/>
  <c r="G77" i="23"/>
  <c r="E77" i="23"/>
  <c r="O76" i="23"/>
  <c r="G76" i="23"/>
  <c r="E76" i="23"/>
  <c r="O75" i="23"/>
  <c r="G75" i="23"/>
  <c r="E75" i="23"/>
  <c r="O74" i="23"/>
  <c r="G74" i="23"/>
  <c r="E74" i="23"/>
  <c r="O73" i="23"/>
  <c r="G73" i="23"/>
  <c r="E73" i="23"/>
  <c r="O72" i="23"/>
  <c r="G72" i="23"/>
  <c r="E72" i="23"/>
  <c r="O71" i="23"/>
  <c r="G71" i="23"/>
  <c r="E71" i="23"/>
  <c r="O70" i="23"/>
  <c r="G70" i="23"/>
  <c r="E70" i="23"/>
  <c r="O69" i="23"/>
  <c r="E69" i="23"/>
  <c r="O68" i="23"/>
  <c r="E68" i="23"/>
  <c r="O67" i="23"/>
  <c r="E67" i="23"/>
  <c r="O66" i="23"/>
  <c r="E66" i="23"/>
  <c r="O65" i="23"/>
  <c r="G65" i="23"/>
  <c r="E65" i="23"/>
  <c r="O64" i="23"/>
  <c r="G64" i="23"/>
  <c r="E64" i="23"/>
  <c r="O63" i="23"/>
  <c r="G63" i="23"/>
  <c r="E63" i="23"/>
  <c r="O62" i="23"/>
  <c r="G62" i="23"/>
  <c r="E62" i="23"/>
  <c r="O61" i="23"/>
  <c r="G61" i="23"/>
  <c r="E61" i="23"/>
  <c r="O60" i="23"/>
  <c r="G60" i="23"/>
  <c r="E60" i="23"/>
  <c r="O59" i="23"/>
  <c r="G59" i="23"/>
  <c r="E59" i="23"/>
  <c r="O58" i="23"/>
  <c r="G58" i="23"/>
  <c r="E58" i="23"/>
  <c r="O57" i="23"/>
  <c r="G57" i="23"/>
  <c r="E57" i="23"/>
  <c r="O56" i="23"/>
  <c r="G56" i="23"/>
  <c r="E56" i="23"/>
  <c r="O55" i="23"/>
  <c r="G55" i="23"/>
  <c r="E55" i="23"/>
  <c r="W54" i="23"/>
  <c r="X54" i="23" s="1"/>
  <c r="O54" i="23"/>
  <c r="G54" i="23"/>
  <c r="E54" i="23"/>
  <c r="O53" i="23"/>
  <c r="G53" i="23"/>
  <c r="E53" i="23"/>
  <c r="O52" i="23"/>
  <c r="G52" i="23"/>
  <c r="E52" i="23"/>
  <c r="O51" i="23"/>
  <c r="G51" i="23"/>
  <c r="E51" i="23"/>
  <c r="O50" i="23"/>
  <c r="G50" i="23"/>
  <c r="E50" i="23"/>
  <c r="O49" i="23"/>
  <c r="G49" i="23"/>
  <c r="E49" i="23"/>
  <c r="O48" i="23"/>
  <c r="G48" i="23"/>
  <c r="E48" i="23"/>
  <c r="O47" i="23"/>
  <c r="G47" i="23"/>
  <c r="E47" i="23"/>
  <c r="O46" i="23"/>
  <c r="G46" i="23"/>
  <c r="E46" i="23"/>
  <c r="O45" i="23"/>
  <c r="G45" i="23"/>
  <c r="E45" i="23"/>
  <c r="O44" i="23"/>
  <c r="G44" i="23"/>
  <c r="E44" i="23"/>
  <c r="O43" i="23"/>
  <c r="G43" i="23"/>
  <c r="E43" i="23"/>
  <c r="O42" i="23"/>
  <c r="G42" i="23"/>
  <c r="E42" i="23"/>
  <c r="O41" i="23"/>
  <c r="G41" i="23"/>
  <c r="E41" i="23"/>
  <c r="O40" i="23"/>
  <c r="G40" i="23"/>
  <c r="E40" i="23"/>
  <c r="O39" i="23"/>
  <c r="G39" i="23"/>
  <c r="E39" i="23"/>
  <c r="O38" i="23"/>
  <c r="G38" i="23"/>
  <c r="E38" i="23"/>
  <c r="O37" i="23"/>
  <c r="G37" i="23"/>
  <c r="E37" i="23"/>
  <c r="O36" i="23"/>
  <c r="G36" i="23"/>
  <c r="E36" i="23"/>
  <c r="O35" i="23"/>
  <c r="G35" i="23"/>
  <c r="E35" i="23"/>
  <c r="O34" i="23"/>
  <c r="G34" i="23"/>
  <c r="E34" i="23"/>
  <c r="O33" i="23"/>
  <c r="G33" i="23"/>
  <c r="E33" i="23"/>
  <c r="O32" i="23"/>
  <c r="G32" i="23"/>
  <c r="E32" i="23"/>
  <c r="O31" i="23"/>
  <c r="G31" i="23"/>
  <c r="E31" i="23"/>
  <c r="O30" i="23"/>
  <c r="G30" i="23"/>
  <c r="E30" i="23"/>
  <c r="O29" i="23"/>
  <c r="G29" i="23"/>
  <c r="E29" i="23"/>
  <c r="O28" i="23"/>
  <c r="G28" i="23"/>
  <c r="E28" i="23"/>
  <c r="O27" i="23"/>
  <c r="G27" i="23"/>
  <c r="E27" i="23"/>
  <c r="O26" i="23"/>
  <c r="G26" i="23"/>
  <c r="E26" i="23"/>
  <c r="O25" i="23"/>
  <c r="G25" i="23"/>
  <c r="E25" i="23"/>
  <c r="O24" i="23"/>
  <c r="G24" i="23"/>
  <c r="E24" i="23"/>
  <c r="O23" i="23"/>
  <c r="G23" i="23"/>
  <c r="E23" i="23"/>
  <c r="W22" i="23"/>
  <c r="X22" i="23" s="1"/>
  <c r="O22" i="23"/>
  <c r="G22" i="23"/>
  <c r="E22" i="23"/>
  <c r="W21" i="23"/>
  <c r="X21" i="23" s="1"/>
  <c r="O21" i="23"/>
  <c r="G21" i="23"/>
  <c r="E21" i="23"/>
  <c r="W20" i="23"/>
  <c r="X20" i="23" s="1"/>
  <c r="O20" i="23"/>
  <c r="G20" i="23"/>
  <c r="E20" i="23"/>
  <c r="W19" i="23"/>
  <c r="X19" i="23" s="1"/>
  <c r="O19" i="23"/>
  <c r="G19" i="23"/>
  <c r="E19" i="23"/>
  <c r="W18" i="23"/>
  <c r="X18" i="23" s="1"/>
  <c r="O18" i="23"/>
  <c r="G18" i="23"/>
  <c r="E18" i="23"/>
  <c r="W17" i="23"/>
  <c r="X17" i="23" s="1"/>
  <c r="O17" i="23"/>
  <c r="G17" i="23"/>
  <c r="E17" i="23"/>
  <c r="W16" i="23"/>
  <c r="X16" i="23" s="1"/>
  <c r="O16" i="23"/>
  <c r="G16" i="23"/>
  <c r="E16" i="23"/>
  <c r="W15" i="23"/>
  <c r="X15" i="23" s="1"/>
  <c r="O15" i="23"/>
  <c r="G15" i="23"/>
  <c r="E15" i="23"/>
  <c r="W14" i="23"/>
  <c r="X14" i="23" s="1"/>
  <c r="O14" i="23"/>
  <c r="G14" i="23"/>
  <c r="E14" i="23"/>
  <c r="O13" i="23"/>
  <c r="G13" i="23"/>
  <c r="E13" i="23"/>
  <c r="O12" i="23"/>
  <c r="G12" i="23"/>
  <c r="E12" i="23"/>
  <c r="W11" i="23"/>
  <c r="X11" i="23" s="1"/>
  <c r="O11" i="23"/>
  <c r="G11" i="23"/>
  <c r="E11" i="23"/>
  <c r="W10" i="23"/>
  <c r="X10" i="23" s="1"/>
  <c r="O10" i="23"/>
  <c r="G10" i="23"/>
  <c r="E10" i="23"/>
  <c r="O9" i="23"/>
  <c r="G9" i="23"/>
  <c r="E9" i="23"/>
  <c r="O8" i="23"/>
  <c r="G8" i="23"/>
  <c r="E8" i="23"/>
  <c r="O7" i="23"/>
  <c r="G7" i="23"/>
  <c r="E7" i="23"/>
  <c r="W6" i="23"/>
  <c r="X6" i="23" s="1"/>
  <c r="O6" i="23"/>
  <c r="G6" i="23"/>
  <c r="E6" i="23"/>
  <c r="W5" i="23"/>
  <c r="X5" i="23" s="1"/>
  <c r="O5" i="23"/>
  <c r="G5" i="23"/>
  <c r="E5" i="23"/>
  <c r="W4" i="23"/>
  <c r="X4" i="23" s="1"/>
  <c r="O4" i="23"/>
  <c r="G4" i="23"/>
  <c r="E4" i="23"/>
  <c r="W3" i="23"/>
  <c r="X3" i="23" s="1"/>
  <c r="O3" i="23"/>
  <c r="G3" i="23"/>
  <c r="E3" i="23"/>
  <c r="W2" i="23"/>
  <c r="X2" i="23" s="1"/>
  <c r="O2" i="23"/>
  <c r="G2" i="23"/>
  <c r="E2" i="23"/>
  <c r="H6" i="20"/>
  <c r="H7" i="20"/>
  <c r="H8" i="20"/>
  <c r="H9" i="20"/>
  <c r="H10" i="20"/>
  <c r="H11" i="20"/>
  <c r="H12" i="20"/>
  <c r="H13" i="20"/>
  <c r="AJ3" i="6"/>
  <c r="P15" i="6"/>
  <c r="P14" i="6"/>
  <c r="D10" i="14" l="1"/>
  <c r="D9" i="14"/>
  <c r="AB8" i="6"/>
  <c r="AC8" i="6" s="1"/>
  <c r="AB10" i="6"/>
  <c r="AC10" i="6" s="1"/>
  <c r="AB13" i="6"/>
  <c r="AC13" i="6" s="1"/>
  <c r="AB9" i="6"/>
  <c r="AC9" i="6" s="1"/>
  <c r="E18" i="6" l="1"/>
  <c r="E14" i="6" l="1"/>
  <c r="E15" i="6"/>
  <c r="E16" i="6"/>
  <c r="E13" i="6" l="1"/>
  <c r="E12" i="6" l="1"/>
  <c r="H6" i="14" l="1"/>
  <c r="I6" i="14" s="1"/>
  <c r="H7" i="14"/>
  <c r="H8" i="14"/>
  <c r="H9" i="14"/>
  <c r="H10" i="14"/>
  <c r="H11" i="14"/>
  <c r="H12" i="14"/>
  <c r="H13" i="14"/>
  <c r="H14" i="14"/>
  <c r="H15" i="14"/>
  <c r="H16" i="14"/>
  <c r="H17" i="14"/>
  <c r="H18" i="14"/>
  <c r="H19" i="14"/>
  <c r="H20" i="14"/>
  <c r="X34" i="12"/>
  <c r="X35" i="12"/>
  <c r="X36" i="12"/>
  <c r="X37" i="12"/>
  <c r="I8" i="14" l="1"/>
  <c r="J8" i="14"/>
  <c r="I15" i="14"/>
  <c r="J15" i="14"/>
  <c r="I7" i="14"/>
  <c r="J7" i="14"/>
  <c r="I14" i="14"/>
  <c r="J14" i="14"/>
  <c r="I13" i="14"/>
  <c r="J13" i="14"/>
  <c r="I20" i="14"/>
  <c r="J20" i="14"/>
  <c r="I12" i="14"/>
  <c r="J12" i="14"/>
  <c r="I19" i="14"/>
  <c r="J19" i="14"/>
  <c r="I11" i="14"/>
  <c r="J11" i="14"/>
  <c r="I18" i="14"/>
  <c r="J18" i="14"/>
  <c r="I10" i="14"/>
  <c r="J10" i="14"/>
  <c r="I17" i="14"/>
  <c r="J17" i="14"/>
  <c r="I9" i="14"/>
  <c r="J9" i="14"/>
  <c r="I16" i="14"/>
  <c r="J16" i="14"/>
  <c r="E10" i="6"/>
  <c r="E9" i="6"/>
  <c r="E7" i="6" l="1"/>
  <c r="C45" i="19" s="1"/>
  <c r="C35" i="19" l="1"/>
  <c r="C18" i="19"/>
  <c r="C31" i="19"/>
  <c r="C33" i="19"/>
  <c r="C15" i="19"/>
  <c r="C30" i="19"/>
  <c r="C27" i="19"/>
  <c r="C42" i="19"/>
  <c r="C24" i="19"/>
  <c r="C41" i="19"/>
  <c r="C38" i="19"/>
  <c r="C21" i="19"/>
  <c r="C12" i="19"/>
  <c r="K22" i="17"/>
  <c r="K14" i="17"/>
  <c r="K23" i="17"/>
  <c r="K21" i="17"/>
  <c r="K13" i="17"/>
  <c r="K20" i="17"/>
  <c r="K12" i="17"/>
  <c r="K17" i="17"/>
  <c r="K19" i="17"/>
  <c r="K11" i="17"/>
  <c r="K18" i="17"/>
  <c r="K10" i="17"/>
  <c r="K15" i="17"/>
  <c r="K16" i="17"/>
  <c r="J22" i="17"/>
  <c r="J14" i="17"/>
  <c r="I20" i="17"/>
  <c r="I12" i="17"/>
  <c r="J21" i="17"/>
  <c r="J13" i="17"/>
  <c r="I19" i="17"/>
  <c r="I11" i="17"/>
  <c r="C9" i="19"/>
  <c r="J20" i="17"/>
  <c r="J12" i="17"/>
  <c r="I18" i="17"/>
  <c r="I10" i="17"/>
  <c r="J19" i="17"/>
  <c r="J11" i="17"/>
  <c r="I17" i="17"/>
  <c r="I9" i="17"/>
  <c r="J15" i="17"/>
  <c r="I13" i="17"/>
  <c r="J18" i="17"/>
  <c r="J10" i="17"/>
  <c r="I16" i="17"/>
  <c r="J17" i="17"/>
  <c r="J9" i="17"/>
  <c r="I23" i="17"/>
  <c r="I15" i="17"/>
  <c r="I21" i="17"/>
  <c r="J16" i="17"/>
  <c r="I22" i="17"/>
  <c r="I14" i="17"/>
  <c r="J23" i="17"/>
  <c r="F13" i="17"/>
  <c r="C6" i="14" l="1"/>
  <c r="D6" i="14"/>
  <c r="M36" i="12"/>
  <c r="M35" i="12"/>
  <c r="M34" i="12"/>
  <c r="L36" i="12"/>
  <c r="L35" i="12"/>
  <c r="L34" i="12"/>
  <c r="U37" i="12"/>
  <c r="T37" i="12" s="1"/>
  <c r="U36" i="12"/>
  <c r="T36" i="12" s="1"/>
  <c r="U35" i="12"/>
  <c r="T35" i="12" s="1"/>
  <c r="U34" i="12"/>
  <c r="T34" i="12" s="1"/>
  <c r="R37" i="12"/>
  <c r="Q37" i="12" s="1"/>
  <c r="R36" i="12"/>
  <c r="Q36" i="12" s="1"/>
  <c r="R35" i="12"/>
  <c r="Q35" i="12" s="1"/>
  <c r="R34" i="12"/>
  <c r="Q34" i="12" s="1"/>
  <c r="J37" i="12"/>
  <c r="J36" i="12"/>
  <c r="J35" i="12"/>
  <c r="J34" i="12"/>
  <c r="I34" i="12" s="1"/>
  <c r="U4" i="12"/>
  <c r="T4" i="12" s="1"/>
  <c r="U3" i="12"/>
  <c r="T3" i="12" s="1"/>
  <c r="U2" i="12"/>
  <c r="T2" i="12" s="1"/>
  <c r="U1" i="12"/>
  <c r="T1" i="12" s="1"/>
  <c r="R4" i="12"/>
  <c r="Q4" i="12" s="1"/>
  <c r="R3" i="12"/>
  <c r="Q3" i="12" s="1"/>
  <c r="R2" i="12"/>
  <c r="Q2" i="12" s="1"/>
  <c r="R1" i="12"/>
  <c r="Q1" i="12" s="1"/>
  <c r="J4" i="12"/>
  <c r="I4" i="12" s="1"/>
  <c r="J3" i="12"/>
  <c r="I3" i="12" s="1"/>
  <c r="J2" i="12"/>
  <c r="I2" i="12" s="1"/>
  <c r="J1" i="12"/>
  <c r="I1" i="12" s="1"/>
  <c r="M3" i="12"/>
  <c r="M2" i="12"/>
  <c r="M1" i="12"/>
  <c r="L3" i="12"/>
  <c r="L2" i="12"/>
  <c r="L1" i="12"/>
  <c r="T9" i="19" l="1"/>
  <c r="T10" i="19"/>
  <c r="T11" i="19"/>
  <c r="T12" i="19"/>
  <c r="T13" i="19"/>
  <c r="T14" i="19"/>
  <c r="T15" i="19"/>
  <c r="T16" i="19"/>
  <c r="T17" i="19"/>
  <c r="T18" i="19"/>
  <c r="T19" i="19"/>
  <c r="T20" i="19"/>
  <c r="T21" i="19"/>
  <c r="T22" i="19"/>
  <c r="T23" i="19"/>
  <c r="T24" i="19"/>
  <c r="T25" i="19"/>
  <c r="T26" i="19"/>
  <c r="T27" i="19"/>
  <c r="T28" i="19"/>
  <c r="T29" i="19"/>
  <c r="T30" i="19"/>
  <c r="T31" i="19"/>
  <c r="T32" i="19"/>
  <c r="T33" i="19"/>
  <c r="T34" i="19"/>
  <c r="T35" i="19"/>
  <c r="T36" i="19"/>
  <c r="T37" i="19"/>
  <c r="T38" i="19"/>
  <c r="T39" i="19"/>
  <c r="T40" i="19"/>
  <c r="T41" i="19"/>
  <c r="T42" i="19"/>
  <c r="T43" i="19"/>
  <c r="T44" i="19"/>
  <c r="F19" i="17" l="1"/>
  <c r="F16" i="17"/>
  <c r="F12" i="17"/>
  <c r="F11" i="17"/>
  <c r="H7" i="6"/>
  <c r="F22" i="17"/>
  <c r="F15" i="17"/>
  <c r="F14" i="17"/>
  <c r="F17" i="17" l="1"/>
  <c r="F21" i="17"/>
  <c r="F20" i="17"/>
  <c r="F23" i="17"/>
  <c r="F9" i="17"/>
  <c r="F10" i="17"/>
  <c r="F18" i="17"/>
  <c r="I37" i="12"/>
  <c r="I36" i="12"/>
  <c r="I35" i="12"/>
  <c r="AB9" i="19" l="1"/>
  <c r="C7" i="14" l="1"/>
  <c r="D7" i="14"/>
  <c r="C8" i="14"/>
  <c r="D8" i="14"/>
  <c r="AB10" i="19" l="1"/>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34" i="19"/>
  <c r="AB35" i="19"/>
  <c r="AB36" i="19"/>
  <c r="AB37" i="19"/>
  <c r="AB38" i="19"/>
  <c r="AB39" i="19"/>
  <c r="AB40" i="19"/>
  <c r="AB41" i="19"/>
  <c r="AB42" i="19"/>
  <c r="AB43" i="19"/>
  <c r="AB44" i="19"/>
  <c r="X10" i="19"/>
  <c r="X11" i="19"/>
  <c r="X12" i="19"/>
  <c r="X13" i="19"/>
  <c r="X14" i="19"/>
  <c r="X15" i="19"/>
  <c r="X16" i="19"/>
  <c r="X17" i="19"/>
  <c r="X18" i="19"/>
  <c r="X19" i="19"/>
  <c r="X20" i="19"/>
  <c r="X21" i="19"/>
  <c r="X22" i="19"/>
  <c r="X23" i="19"/>
  <c r="X24" i="19"/>
  <c r="X25" i="19"/>
  <c r="X26" i="19"/>
  <c r="X27" i="19"/>
  <c r="X28" i="19"/>
  <c r="X29" i="19"/>
  <c r="X30" i="19"/>
  <c r="X31" i="19"/>
  <c r="X32" i="19"/>
  <c r="X33" i="19"/>
  <c r="X34" i="19"/>
  <c r="X35" i="19"/>
  <c r="X36" i="19"/>
  <c r="X37" i="19"/>
  <c r="X38" i="19"/>
  <c r="X39" i="19"/>
  <c r="X40" i="19"/>
  <c r="X41" i="19"/>
  <c r="X42" i="19"/>
  <c r="X43" i="19"/>
  <c r="X44" i="19"/>
  <c r="X9" i="19"/>
  <c r="AC9" i="19" s="1"/>
  <c r="AC37" i="19" l="1"/>
  <c r="AC44" i="19"/>
  <c r="AC41" i="19"/>
  <c r="AC35" i="19"/>
  <c r="AC18" i="19"/>
  <c r="AC10" i="19"/>
  <c r="AC29" i="19"/>
  <c r="AC40" i="19"/>
  <c r="AC33" i="19"/>
  <c r="AC28" i="19"/>
  <c r="AC23" i="19"/>
  <c r="AC15" i="19"/>
  <c r="AC39" i="19"/>
  <c r="AC27" i="19"/>
  <c r="AC22" i="19"/>
  <c r="AC14" i="19"/>
  <c r="AC38" i="19"/>
  <c r="AC32" i="19"/>
  <c r="AE31" i="19" s="1"/>
  <c r="AC26" i="19"/>
  <c r="AC21" i="19"/>
  <c r="AC13" i="19"/>
  <c r="AC30" i="19"/>
  <c r="AC16" i="19"/>
  <c r="AC43" i="19"/>
  <c r="AC31" i="19"/>
  <c r="AC25" i="19"/>
  <c r="AC20" i="19"/>
  <c r="AC12" i="19"/>
  <c r="AC17" i="19"/>
  <c r="AC34" i="19"/>
  <c r="AC42" i="19"/>
  <c r="AC36" i="19"/>
  <c r="AC24" i="19"/>
  <c r="AC19" i="19"/>
  <c r="AC11" i="19"/>
  <c r="AD35" i="19" l="1"/>
  <c r="AE35" i="19" s="1"/>
  <c r="AD9" i="19"/>
  <c r="AE9" i="19" s="1"/>
  <c r="H9" i="17" s="1"/>
  <c r="AE41" i="19"/>
  <c r="AE42" i="19"/>
  <c r="AD21" i="19"/>
  <c r="AE21" i="19" s="1"/>
  <c r="H13" i="17" s="1"/>
  <c r="AD18" i="19"/>
  <c r="AE18" i="19" s="1"/>
  <c r="H12" i="17" s="1"/>
  <c r="AD38" i="19"/>
  <c r="AE38" i="19" s="1"/>
  <c r="AD27" i="19"/>
  <c r="AE27" i="19" s="1"/>
  <c r="H16" i="17" s="1"/>
  <c r="AE33" i="19"/>
  <c r="AD15" i="19"/>
  <c r="AE15" i="19" s="1"/>
  <c r="H11" i="17" s="1"/>
  <c r="AD12" i="19"/>
  <c r="AE12" i="19" s="1"/>
  <c r="H10" i="17" s="1"/>
  <c r="AD24" i="19"/>
  <c r="AE24" i="19" s="1"/>
  <c r="H14" i="17" s="1"/>
  <c r="H19" i="17" l="1"/>
  <c r="S19" i="17" s="1"/>
  <c r="H22" i="17"/>
  <c r="P22" i="17" s="1"/>
  <c r="H21" i="17"/>
  <c r="R21" i="17" s="1"/>
  <c r="H23" i="17"/>
  <c r="Q23" i="17" s="1"/>
  <c r="H17" i="17"/>
  <c r="Q17" i="17" s="1"/>
  <c r="H20" i="17"/>
  <c r="S20" i="17" s="1"/>
  <c r="H18" i="17"/>
  <c r="S18" i="17" s="1"/>
  <c r="H15" i="17"/>
  <c r="S15" i="17" s="1"/>
  <c r="P12" i="17"/>
  <c r="Q12" i="17"/>
  <c r="R12" i="17"/>
  <c r="S12" i="17"/>
  <c r="P16" i="17"/>
  <c r="Q16" i="17"/>
  <c r="R16" i="17"/>
  <c r="S16" i="17"/>
  <c r="P10" i="17"/>
  <c r="Q10" i="17"/>
  <c r="R10" i="17"/>
  <c r="S10" i="17"/>
  <c r="P11" i="17"/>
  <c r="R11" i="17"/>
  <c r="Q11" i="17"/>
  <c r="S11" i="17"/>
  <c r="T9" i="17"/>
  <c r="R9" i="17"/>
  <c r="Q9" i="17"/>
  <c r="S9" i="17"/>
  <c r="P9" i="17"/>
  <c r="P14" i="17"/>
  <c r="Q14" i="17"/>
  <c r="R14" i="17"/>
  <c r="S14" i="17"/>
  <c r="Q13" i="17"/>
  <c r="P13" i="17"/>
  <c r="R13" i="17"/>
  <c r="S13" i="17"/>
  <c r="T16" i="17"/>
  <c r="T12" i="17"/>
  <c r="T10" i="17"/>
  <c r="T11" i="17"/>
  <c r="T14" i="17"/>
  <c r="T13" i="17"/>
  <c r="B6" i="20"/>
  <c r="Q19" i="17" l="1"/>
  <c r="P19" i="17"/>
  <c r="R19" i="17"/>
  <c r="T19" i="17"/>
  <c r="T22" i="17"/>
  <c r="S22" i="17"/>
  <c r="R22" i="17"/>
  <c r="Q22" i="17"/>
  <c r="R23" i="17"/>
  <c r="S23" i="17"/>
  <c r="R18" i="17"/>
  <c r="T23" i="17"/>
  <c r="P18" i="17"/>
  <c r="P21" i="17"/>
  <c r="T21" i="17"/>
  <c r="Q21" i="17"/>
  <c r="P17" i="17"/>
  <c r="R17" i="17"/>
  <c r="S21" i="17"/>
  <c r="P23" i="17"/>
  <c r="T18" i="17"/>
  <c r="Q18" i="17"/>
  <c r="S17" i="17"/>
  <c r="R20" i="17"/>
  <c r="Q15" i="17"/>
  <c r="R15" i="17"/>
  <c r="T17" i="17"/>
  <c r="I12" i="20"/>
  <c r="P15" i="17"/>
  <c r="T15" i="17"/>
  <c r="Q20" i="17"/>
  <c r="P20" i="17"/>
  <c r="T20" i="17"/>
  <c r="I9" i="20"/>
  <c r="I13" i="20"/>
  <c r="I11" i="20"/>
  <c r="I6" i="20"/>
  <c r="I10" i="20"/>
  <c r="I8" i="20"/>
  <c r="E7" i="14"/>
  <c r="F7" i="14" s="1"/>
  <c r="E8" i="14"/>
  <c r="F8" i="14" s="1"/>
  <c r="I7" i="20" l="1"/>
  <c r="M6" i="20"/>
  <c r="M9" i="20"/>
  <c r="M8" i="20"/>
  <c r="M7" i="20"/>
  <c r="U14" i="17"/>
  <c r="U15" i="17"/>
  <c r="U16" i="17"/>
  <c r="U17" i="17"/>
  <c r="U18" i="17"/>
  <c r="U19" i="17"/>
  <c r="U20" i="17"/>
  <c r="U21" i="17"/>
  <c r="U22" i="17"/>
  <c r="U23" i="17"/>
  <c r="U12" i="17"/>
  <c r="U13" i="17"/>
  <c r="U10" i="17"/>
  <c r="U11" i="17"/>
  <c r="J12" i="20" l="1"/>
  <c r="J9" i="20"/>
  <c r="J10" i="20"/>
  <c r="J8" i="20"/>
  <c r="J11" i="20"/>
  <c r="G10" i="17" l="1"/>
  <c r="G11" i="17"/>
  <c r="G12" i="17"/>
  <c r="G13" i="17"/>
  <c r="G14" i="17"/>
  <c r="G15" i="17"/>
  <c r="G16" i="17"/>
  <c r="G17" i="17"/>
  <c r="G18" i="17"/>
  <c r="G19" i="17"/>
  <c r="G20" i="17"/>
  <c r="G21" i="17"/>
  <c r="G22" i="17"/>
  <c r="G23" i="17"/>
  <c r="G9" i="17"/>
  <c r="C9" i="20" l="1"/>
  <c r="J10" i="15" l="1"/>
  <c r="J9" i="15"/>
  <c r="J8" i="15"/>
  <c r="J7" i="15"/>
  <c r="B10" i="20" l="1"/>
  <c r="C10" i="20" s="1"/>
  <c r="B8" i="20"/>
  <c r="B7" i="20"/>
  <c r="C7" i="20" s="1"/>
  <c r="E10" i="14" l="1"/>
  <c r="F10" i="14" s="1"/>
  <c r="E9" i="14"/>
  <c r="F9" i="14" s="1"/>
  <c r="V22" i="17" l="1"/>
  <c r="W22" i="17" s="1"/>
  <c r="X22" i="17" s="1"/>
  <c r="V23" i="17"/>
  <c r="W23" i="17" s="1"/>
  <c r="X23" i="17" s="1"/>
  <c r="V15" i="17"/>
  <c r="V20" i="17"/>
  <c r="V13" i="17"/>
  <c r="V21" i="17"/>
  <c r="V19" i="17"/>
  <c r="V14" i="17" l="1"/>
  <c r="V18" i="17"/>
  <c r="W18" i="17" s="1"/>
  <c r="X18" i="17" s="1"/>
  <c r="V11" i="17"/>
  <c r="V16" i="17"/>
  <c r="V17" i="17"/>
  <c r="W17" i="17" s="1"/>
  <c r="X17" i="17" s="1"/>
  <c r="V10" i="17"/>
  <c r="W21" i="17"/>
  <c r="X21" i="17" s="1"/>
  <c r="W15" i="17"/>
  <c r="X15" i="17" s="1"/>
  <c r="W19" i="17"/>
  <c r="X19" i="17" s="1"/>
  <c r="W13" i="17"/>
  <c r="X13" i="17" s="1"/>
  <c r="W20" i="17"/>
  <c r="X20" i="17" s="1"/>
  <c r="D9" i="20" l="1"/>
  <c r="E9" i="20" s="1"/>
  <c r="F9" i="20" s="1"/>
  <c r="W16" i="17"/>
  <c r="X16" i="17" s="1"/>
  <c r="D10" i="20"/>
  <c r="E10" i="20" s="1"/>
  <c r="F10" i="20" s="1"/>
  <c r="W11" i="17"/>
  <c r="X11" i="17" s="1"/>
  <c r="W14" i="17"/>
  <c r="X14" i="17" s="1"/>
  <c r="W10" i="17"/>
  <c r="X10" i="17" s="1"/>
  <c r="V12" i="17"/>
  <c r="D7" i="20" l="1"/>
  <c r="E7" i="20" s="1"/>
  <c r="W12" i="17"/>
  <c r="X12" i="17" s="1"/>
  <c r="AA18" i="17" l="1"/>
  <c r="Z18" i="17"/>
  <c r="E6" i="14" l="1"/>
  <c r="F6" i="14" s="1"/>
  <c r="AD3" i="17" l="1"/>
  <c r="F7" i="20"/>
  <c r="AA7" i="6"/>
  <c r="K9" i="17" s="1"/>
  <c r="U9" i="17" l="1"/>
  <c r="J6" i="14"/>
  <c r="AK3" i="6"/>
  <c r="AB7" i="6"/>
  <c r="AC7" i="6" s="1"/>
  <c r="J7" i="20" l="1"/>
  <c r="C8" i="20"/>
  <c r="J13" i="20"/>
  <c r="AE3" i="17"/>
  <c r="C6" i="20"/>
  <c r="J6" i="20"/>
  <c r="V9" i="17"/>
  <c r="X9" i="17" s="1"/>
  <c r="D8" i="20" l="1"/>
  <c r="F8" i="20" s="1"/>
  <c r="D6" i="20"/>
  <c r="F6" i="20" s="1"/>
</calcChain>
</file>

<file path=xl/sharedStrings.xml><?xml version="1.0" encoding="utf-8"?>
<sst xmlns="http://schemas.openxmlformats.org/spreadsheetml/2006/main" count="2204" uniqueCount="637">
  <si>
    <t>CAUSA</t>
  </si>
  <si>
    <t>SCORE</t>
  </si>
  <si>
    <t>BAJO</t>
  </si>
  <si>
    <t>MEDIO</t>
  </si>
  <si>
    <t>ALTO</t>
  </si>
  <si>
    <t>EXTREMO</t>
  </si>
  <si>
    <t>MEDIDA A TOMAR</t>
  </si>
  <si>
    <t>FACTOR DE RIESGO</t>
  </si>
  <si>
    <t>Tratar</t>
  </si>
  <si>
    <t>Jurisdicciones</t>
  </si>
  <si>
    <t>Productos</t>
  </si>
  <si>
    <t>Canales de Distribución</t>
  </si>
  <si>
    <t>PROCESOS</t>
  </si>
  <si>
    <t>CODIGO PROCESO</t>
  </si>
  <si>
    <t>FACTORES</t>
  </si>
  <si>
    <t>LAFT1</t>
  </si>
  <si>
    <t>LAFT2</t>
  </si>
  <si>
    <t>LAFT3</t>
  </si>
  <si>
    <t>LAFT4</t>
  </si>
  <si>
    <t>LAFT5</t>
  </si>
  <si>
    <t>LAFT6</t>
  </si>
  <si>
    <t>PROBABILIDAD</t>
  </si>
  <si>
    <t>Clientes / Usuarios / Contrapartes</t>
  </si>
  <si>
    <t>CONSECUENCIAS</t>
  </si>
  <si>
    <t>Pérdidas económicas</t>
  </si>
  <si>
    <t>Sanciones legales</t>
  </si>
  <si>
    <t>Pérdida de reputación</t>
  </si>
  <si>
    <t>Pérdida de mercado</t>
  </si>
  <si>
    <t>Pérdida de clientes</t>
  </si>
  <si>
    <t>Pérdida de certificaciones</t>
  </si>
  <si>
    <t>Mayor exposición de la compañía al LAFT</t>
  </si>
  <si>
    <t>Deterioro de los controles operativos</t>
  </si>
  <si>
    <t>ESTADOS</t>
  </si>
  <si>
    <t>No iniciada</t>
  </si>
  <si>
    <t>En curso</t>
  </si>
  <si>
    <t>Terminada</t>
  </si>
  <si>
    <t>Cancelada</t>
  </si>
  <si>
    <t>Evaluada</t>
  </si>
  <si>
    <t>VALORACION DEL RIESGO</t>
  </si>
  <si>
    <t>EVALUACION DEL RIESGO</t>
  </si>
  <si>
    <t>IDENTIFICACION DEL RIESGO</t>
  </si>
  <si>
    <t>ANALISIS DEL RIESGO</t>
  </si>
  <si>
    <t>TRATAMIENTO DEL RIESGO</t>
  </si>
  <si>
    <t>NIVEL DEL RIESGO (RIESGO INHERENTE)</t>
  </si>
  <si>
    <t>RL</t>
  </si>
  <si>
    <t>RO</t>
  </si>
  <si>
    <t>RR</t>
  </si>
  <si>
    <t>RC</t>
  </si>
  <si>
    <t>SUBPROCESO</t>
  </si>
  <si>
    <t>CODIGO SUBPROCESO</t>
  </si>
  <si>
    <t>Administración</t>
  </si>
  <si>
    <t>Cobros</t>
  </si>
  <si>
    <t>Contabilidad</t>
  </si>
  <si>
    <t>Créditos</t>
  </si>
  <si>
    <t>Mercadeo</t>
  </si>
  <si>
    <t>Seguros</t>
  </si>
  <si>
    <t>Gestión de Compras</t>
  </si>
  <si>
    <t>Control de seguridad en las instalaciones</t>
  </si>
  <si>
    <t>Política de cobros</t>
  </si>
  <si>
    <t>Cobranza</t>
  </si>
  <si>
    <t>Cobro jurídico y prejurídico</t>
  </si>
  <si>
    <t>Nuevos arreglos y refinanciación</t>
  </si>
  <si>
    <t>Recuperación, custodia y venta de vehículos</t>
  </si>
  <si>
    <t>Archivo y control de documentos contables</t>
  </si>
  <si>
    <t>Revisión y control de cortes de caja</t>
  </si>
  <si>
    <t>Caja menor</t>
  </si>
  <si>
    <t>Pago a proveedores y elaboración de transferencias</t>
  </si>
  <si>
    <t>Cumplimiento de obligaciones tributarias</t>
  </si>
  <si>
    <t>Archivo y custodia de información documentada del negocio</t>
  </si>
  <si>
    <t>Escaneo de documentación de negocios</t>
  </si>
  <si>
    <t>Política de créditos</t>
  </si>
  <si>
    <t>Documentación de negocios</t>
  </si>
  <si>
    <t>Formalización del crédito</t>
  </si>
  <si>
    <t>Verificación y análisis de referencias</t>
  </si>
  <si>
    <t>Manejo de PQR</t>
  </si>
  <si>
    <t>Administración de seguros cobros</t>
  </si>
  <si>
    <t>Administración de seguros comercial</t>
  </si>
  <si>
    <t>LAFT 4</t>
  </si>
  <si>
    <t>LAFT 3</t>
  </si>
  <si>
    <t>Política de Gestión de compras</t>
  </si>
  <si>
    <t>Registro de facturas radicadas y pasivos estimados</t>
  </si>
  <si>
    <t>No RIESGO</t>
  </si>
  <si>
    <t>Recepción y contabilización de negocios a desembolsar</t>
  </si>
  <si>
    <t>Prácticas LAFT</t>
  </si>
  <si>
    <t>LAFT7</t>
  </si>
  <si>
    <t>VALORACION CONSECUENCIA</t>
  </si>
  <si>
    <t>CONSECUENCIA</t>
  </si>
  <si>
    <t>VALORACION</t>
  </si>
  <si>
    <t>NIVEL DE RIESGO</t>
  </si>
  <si>
    <t>LAFT8</t>
  </si>
  <si>
    <t>LAFT9</t>
  </si>
  <si>
    <t>LAFT10</t>
  </si>
  <si>
    <t>Prevenir/Tratar/Evitar</t>
  </si>
  <si>
    <t>Prevenir/Tratar</t>
  </si>
  <si>
    <t>Probabilidad</t>
  </si>
  <si>
    <t>Promedio</t>
  </si>
  <si>
    <t>Valoración</t>
  </si>
  <si>
    <t>Moderado</t>
  </si>
  <si>
    <t>Menor</t>
  </si>
  <si>
    <t>Catastrófico</t>
  </si>
  <si>
    <t>INCIDENCIA DEL TOTAL DE CONTROLES SOBRE EL RIESGO</t>
  </si>
  <si>
    <t>PROBABILIDAD RESIDUAL</t>
  </si>
  <si>
    <t>RIESGO RESIDUAL</t>
  </si>
  <si>
    <t>MEDIDAS</t>
  </si>
  <si>
    <t>CALIFICACION DEL CONTROL</t>
  </si>
  <si>
    <t>CALIFICACIÓN CALIDAD DEL CONTROL</t>
  </si>
  <si>
    <t>ACCIONES DE EJECUCION</t>
  </si>
  <si>
    <t>FORMALIDAD</t>
  </si>
  <si>
    <t>TOTAL FORMALIDAD</t>
  </si>
  <si>
    <t>APLICACIÓN</t>
  </si>
  <si>
    <t>TOTAL APLICACIÓN</t>
  </si>
  <si>
    <t xml:space="preserve"> EFECTIVIDAD</t>
  </si>
  <si>
    <t>TOTAL EFECTIVIDAD</t>
  </si>
  <si>
    <t>OBJETIVO DEL CONTROL</t>
  </si>
  <si>
    <t xml:space="preserve">CLASE DE CONTROL </t>
  </si>
  <si>
    <t>PERIODICIDAD</t>
  </si>
  <si>
    <t>FORMA DE APLICACIÓN</t>
  </si>
  <si>
    <t>RESPONSABLE DE APROBACION</t>
  </si>
  <si>
    <t>RESPONSABLE DE IMPLEMENTACION</t>
  </si>
  <si>
    <t xml:space="preserve">RESPONSABLE DE MONITOREO </t>
  </si>
  <si>
    <t>DESCRIPCION DE ACCIONES</t>
  </si>
  <si>
    <t>NO ESTA DOCUMENTADO</t>
  </si>
  <si>
    <t>DOCUMENTADO</t>
  </si>
  <si>
    <t>APROBADO</t>
  </si>
  <si>
    <t>DIVULGADO</t>
  </si>
  <si>
    <t>NUNCA</t>
  </si>
  <si>
    <t xml:space="preserve">A DISCRESION </t>
  </si>
  <si>
    <t>SIEMPRE</t>
  </si>
  <si>
    <t>COMPROBADA EFECTIVIDAD</t>
  </si>
  <si>
    <t>COMPROBADA NO EFECTIVIDAD</t>
  </si>
  <si>
    <t>EVALUACIÓN 
(Según score de calificación)</t>
  </si>
  <si>
    <t>CRITICA</t>
  </si>
  <si>
    <t>MAYOR 91</t>
  </si>
  <si>
    <t>EXCELENTE</t>
  </si>
  <si>
    <t xml:space="preserve"> 61 A 90</t>
  </si>
  <si>
    <t>BUENA</t>
  </si>
  <si>
    <t xml:space="preserve"> 20 A 60</t>
  </si>
  <si>
    <t>BAJA</t>
  </si>
  <si>
    <t xml:space="preserve"> 0 A 19</t>
  </si>
  <si>
    <t>Manual</t>
  </si>
  <si>
    <t>Diario</t>
  </si>
  <si>
    <t>Automático</t>
  </si>
  <si>
    <t>Semanal</t>
  </si>
  <si>
    <t>Combinado</t>
  </si>
  <si>
    <t>Mensual</t>
  </si>
  <si>
    <t>Semestral</t>
  </si>
  <si>
    <t>Anual</t>
  </si>
  <si>
    <t>Cada vez q se requiera</t>
  </si>
  <si>
    <t>P</t>
  </si>
  <si>
    <t>C</t>
  </si>
  <si>
    <t>RESPONSABLE DE REPORTE</t>
  </si>
  <si>
    <t>CONCLUSIÓN EFECTIVIDAD</t>
  </si>
  <si>
    <t>ESTADO DE ACCIONES</t>
  </si>
  <si>
    <t>VALORACIÓN DEL CONTROL</t>
  </si>
  <si>
    <t>SCORE DE CALIFICACIÓN POR CONTROL</t>
  </si>
  <si>
    <t>SCORE DE CALIFICACIÓN POR RIESGO</t>
  </si>
  <si>
    <t>No.</t>
  </si>
  <si>
    <t>N0</t>
  </si>
  <si>
    <t>CONTROL(ES)</t>
  </si>
  <si>
    <t>Factor de Riesgo</t>
  </si>
  <si>
    <t>PROBA INHE</t>
  </si>
  <si>
    <t>VALORA CONSE INHER</t>
  </si>
  <si>
    <t>VALORACIÓN CONSECUENCIA RESIDUAL</t>
  </si>
  <si>
    <t>Trimestral</t>
  </si>
  <si>
    <t>Continuo</t>
  </si>
  <si>
    <t>EFECTO MITIGACIÓN 
(Sobre valoración de riesgo inherente)</t>
  </si>
  <si>
    <t>RANGO DE CALIFICACIÓN
(Calidad del Control)</t>
  </si>
  <si>
    <t>SCORE DE CALIFICACIÓN
(Calidad del Control)</t>
  </si>
  <si>
    <t>CODIGO RIESGO</t>
  </si>
  <si>
    <t>FAC1</t>
  </si>
  <si>
    <t>FAC2</t>
  </si>
  <si>
    <t>FAC3</t>
  </si>
  <si>
    <t>FAC4</t>
  </si>
  <si>
    <t>LAFT11</t>
  </si>
  <si>
    <t>LAFT12</t>
  </si>
  <si>
    <t>LAFT13</t>
  </si>
  <si>
    <t>LAFT14</t>
  </si>
  <si>
    <t>LAFT15</t>
  </si>
  <si>
    <t>FAC5</t>
  </si>
  <si>
    <t>FAC6</t>
  </si>
  <si>
    <t>0 - 19</t>
  </si>
  <si>
    <t>Valoración Score</t>
  </si>
  <si>
    <t>Cod Proceso</t>
  </si>
  <si>
    <t>Cod Riesgo</t>
  </si>
  <si>
    <t>Riesgo Reputacional</t>
  </si>
  <si>
    <t>Riesgo Operativo</t>
  </si>
  <si>
    <t>Riesgo Legal</t>
  </si>
  <si>
    <t>Riesgo de Contagio</t>
  </si>
  <si>
    <t>CPI</t>
  </si>
  <si>
    <t>J</t>
  </si>
  <si>
    <t>RIESGO INHERENTE</t>
  </si>
  <si>
    <t>Val Conse Resid</t>
  </si>
  <si>
    <t>RIESGO DESCRIPCION</t>
  </si>
  <si>
    <t>Valoración de la Consecuencia</t>
  </si>
  <si>
    <t>Prob Conse Resid</t>
  </si>
  <si>
    <t>RI:</t>
  </si>
  <si>
    <t>Riesgo Inherente</t>
  </si>
  <si>
    <t>Riesgo Residual</t>
  </si>
  <si>
    <t>RR:</t>
  </si>
  <si>
    <t>Recursos Humanos</t>
  </si>
  <si>
    <t>X</t>
  </si>
  <si>
    <t>1234</t>
  </si>
  <si>
    <t>1204</t>
  </si>
  <si>
    <t>1034</t>
  </si>
  <si>
    <t>1230</t>
  </si>
  <si>
    <t>0234</t>
  </si>
  <si>
    <t>0204</t>
  </si>
  <si>
    <t>0004</t>
  </si>
  <si>
    <t>0000</t>
  </si>
  <si>
    <t>Incluir riesgo inherente</t>
  </si>
  <si>
    <t>0230</t>
  </si>
  <si>
    <t>COD</t>
  </si>
  <si>
    <t>20 - 60</t>
  </si>
  <si>
    <t>61 - 90</t>
  </si>
  <si>
    <t>&gt; 91</t>
  </si>
  <si>
    <t>Planeada</t>
  </si>
  <si>
    <t>En Ejecución</t>
  </si>
  <si>
    <t>TIPO DE CONTROL</t>
  </si>
  <si>
    <t>Falta de procedimientos que permitan realizar el conocimiento de los empleados vinculados.</t>
  </si>
  <si>
    <t xml:space="preserve">No se cuenta con una política de verificación de antecedentes para los empleados de ingreso. </t>
  </si>
  <si>
    <t>VALORACIÓN POR SCORE DE CALIFICACIÓN</t>
  </si>
  <si>
    <r>
      <rPr>
        <b/>
        <sz val="14"/>
        <color theme="1"/>
        <rFont val="Candara"/>
        <family val="2"/>
      </rPr>
      <t>NOTA:</t>
    </r>
    <r>
      <rPr>
        <sz val="14"/>
        <color theme="1"/>
        <rFont val="Candara"/>
        <family val="2"/>
      </rPr>
      <t xml:space="preserve"> La definición de los riesgos inherente y residual, riesgos por factor de riesgo y riesgos por proceso se realizan con el promedio aritmético de las probabilidades e impactos de cada uno de los riesgos asociados.</t>
    </r>
  </si>
  <si>
    <t>Factores de Riesgo</t>
  </si>
  <si>
    <t>Código Factor</t>
  </si>
  <si>
    <t>Subproceso</t>
  </si>
  <si>
    <t>Código subproceso</t>
  </si>
  <si>
    <t>Gerencia General</t>
  </si>
  <si>
    <t>Servicios administrativos</t>
  </si>
  <si>
    <t>Facturación y cartera</t>
  </si>
  <si>
    <t>Knowledge management</t>
  </si>
  <si>
    <t>Planeación financiera</t>
  </si>
  <si>
    <t>Tecnología</t>
  </si>
  <si>
    <t>Real Estate</t>
  </si>
  <si>
    <t>Sociedades</t>
  </si>
  <si>
    <t>Energía / Minería / Infraestructura</t>
  </si>
  <si>
    <t>Cumplimiento corporativo</t>
  </si>
  <si>
    <t>Impuestos</t>
  </si>
  <si>
    <t>M&amp;A / Private Equity</t>
  </si>
  <si>
    <t>SEGMENTO</t>
  </si>
  <si>
    <t>PROCESOS/ÁREAS DE PRÁCTICAS</t>
  </si>
  <si>
    <t>Proveedores</t>
  </si>
  <si>
    <t>Accionistas</t>
  </si>
  <si>
    <t>Clientes</t>
  </si>
  <si>
    <t>Canales comerciales y/o transaccionales</t>
  </si>
  <si>
    <t>Valor Cualitativo</t>
  </si>
  <si>
    <t>Descripción en Términos de Riesgo Legal</t>
  </si>
  <si>
    <t>Descripción en Términos de Riesgo de Contagio</t>
  </si>
  <si>
    <t>Descripción en Términos de Riesgo Operacional</t>
  </si>
  <si>
    <t>Descripción en términos de Riesgo Reputacional</t>
  </si>
  <si>
    <t>Recomendación de autoridad competente.</t>
  </si>
  <si>
    <t>Plan de ajuste valor implementación de las actividades.</t>
  </si>
  <si>
    <t>Efectos legales y reputacionales derivados de la relación con un beneficiario final involucrado en alguna actividad de LA/FT/FPADM.</t>
  </si>
  <si>
    <t>Orden administrativa y/o procesos judiciales sin fallo por parte de jueces.</t>
  </si>
  <si>
    <t>Efectos legales y reputacionales derivados de la relación con un cliente involucrado en alguna actividad de LA/FT/FPADM.</t>
  </si>
  <si>
    <t>Mayor</t>
  </si>
  <si>
    <t>VALORACION RIESGO INHERENTE</t>
  </si>
  <si>
    <t>cantidad x</t>
  </si>
  <si>
    <t>Facturación</t>
  </si>
  <si>
    <t>Creación de proveedores</t>
  </si>
  <si>
    <t>Cartera</t>
  </si>
  <si>
    <t>Creación de clientes y asuntos</t>
  </si>
  <si>
    <t>Tesorería</t>
  </si>
  <si>
    <t>Nómina y administración de personal</t>
  </si>
  <si>
    <t>Compensación y beneficios</t>
  </si>
  <si>
    <t>Correspondencia</t>
  </si>
  <si>
    <t>Archivo</t>
  </si>
  <si>
    <t>Servicios Generales</t>
  </si>
  <si>
    <t>Soporte a usuarios</t>
  </si>
  <si>
    <t>Soporte de aplicaciones</t>
  </si>
  <si>
    <t>Desarrollo de negocios, mercadeo y comunicaciones</t>
  </si>
  <si>
    <t>Mercadeo y comunicaciones</t>
  </si>
  <si>
    <t>Procesos/Áreas de Práctica</t>
  </si>
  <si>
    <t>Código proceso</t>
  </si>
  <si>
    <t>Tipo riesgo</t>
  </si>
  <si>
    <t>Código riesgo</t>
  </si>
  <si>
    <t>Nivel de riesgo</t>
  </si>
  <si>
    <t>Tratamiento</t>
  </si>
  <si>
    <t>Estado de acciones</t>
  </si>
  <si>
    <t>Valor cuantitativo</t>
  </si>
  <si>
    <t>Descripción</t>
  </si>
  <si>
    <t>Valor cualitativo</t>
  </si>
  <si>
    <t>Posibilidad de entregar información incompleta o errónea al área encargada de responder un requerimiento sobre LA/FT/FPADM realizado por un ente de control.</t>
  </si>
  <si>
    <t>Falta de procedimientos que permitan garantizar la generación de información por parte del área de contabilidad sobre información financiera.</t>
  </si>
  <si>
    <t>Falta de un procedimiento para el pago de facturas documentado y aprobado que incluyan la obligación de consultar la lista vinculante y de control previamente a realizar el pago.</t>
  </si>
  <si>
    <t>Empleados</t>
  </si>
  <si>
    <t>CALCULOS</t>
  </si>
  <si>
    <t>Posibilidad de realizar un pago de factura a un proveedor que se encuentra en listas vinculantes y de control.</t>
  </si>
  <si>
    <t>Posibilidad de tener relación legal o contractual con empresas fachada que realicen transacciones o contratos relacionadas con  LA/FT/FPADM.</t>
  </si>
  <si>
    <t>Deficiencias en la calidad de la información de las listas /externas o en el sistema de prevención del LA/FT/FPADM.</t>
  </si>
  <si>
    <t>Posibilidad de tener relación legal o contractual con proveedores persona jurídica con estructuras societarias complejas, que dificultan la identificación de sus accionistas y/o beneficiarios finales, facilitando el ocultamiento de personas cuya intención consiste en lavar activos o financiar el terrorismo.</t>
  </si>
  <si>
    <t>Omisión o falla en la ejecución de procedimientos relacionados con la debida diligencia intensificada en la creación del proveedor.</t>
  </si>
  <si>
    <t>Omisión o falla en la ejecución de procedimientos relacionados con la debida diligencia o debida diligencia intensificada en la creación del proveedor.</t>
  </si>
  <si>
    <t>Posibilidad de generar un pago de factura a un cliente o pagador (payer) que se encuentra en listas vinculantes y de control.</t>
  </si>
  <si>
    <t>Falta de un procedimiento para la generación las facturas documentado y aprobado que incluyan la obligación de consultar la lista vinculante y de control previamente a generar la factura que incluya al cliente o pagador (payer).</t>
  </si>
  <si>
    <t>Posibilidad de recuperar valores en la gestión de cobro sin el conocimiento del origen de los fondos.</t>
  </si>
  <si>
    <t>Falla u omisión en la verificación del origen de los recursos con los que el cliente paga un servicio.</t>
  </si>
  <si>
    <t>Posibilidad de recibir un cheque como pago a una obligación por parte de un tercero que no tenga ninguna relación con el contrato diferente a un pagador (payer).</t>
  </si>
  <si>
    <t>Falla u omisión del procedimiento establecido para el pago con cheque.</t>
  </si>
  <si>
    <t>Posibilidad de que la firma realice pagos a terceros en países catalogados de alto riesgo LA/FT/FPADM.</t>
  </si>
  <si>
    <t>Posibilidad de tener relaciones contractuales, legales o comerciales con clientes relacionados con delitos LA/FT/FPADM</t>
  </si>
  <si>
    <t>Posibilidad de tener relaciones contractuales, legales o comerciales con proveedores relacionados con delitos LA/FT/FPADM</t>
  </si>
  <si>
    <t>Posibilidad de tener relaciones contractuales, legales o comerciales con empleados relacionados con delitos LA/FT/FPADM</t>
  </si>
  <si>
    <t>Omisión o falla en la ejecución de procedimientos relacionados con la debida diligencia intensificada de conocimiento del proveedor.</t>
  </si>
  <si>
    <t>Posibilidad de concentración de recaudos de cuentas por cobrar por servicios prestados en zonas y jurisdicciones de alto riesgo en materia de LA/FT/FPADM.</t>
  </si>
  <si>
    <t>Falla u omisión en los procedimientos relacionados con debida diligencia intensificada y procedimiento de facturación.</t>
  </si>
  <si>
    <t>Falla u omisión en la verificación de las políticas y procedimientos sobre conocimiento para el cliente o del cliente en temas LA/FT/FPADM.</t>
  </si>
  <si>
    <t>Falla u omisión en la verificación de las políticas y procedimientos sobre conocimiento para el proveedor o del proveedor en temas LA/FT/FPADM.</t>
  </si>
  <si>
    <t>Falla u omisión en la verificación de las políticas y procedimientos sobre conocimiento para el empleado o del empleado en temas LA/FT/FPADM.</t>
  </si>
  <si>
    <t>Posibilidad de tener relaciones contractuales, legales o comerciales con accionistas relacionados con delitos LA/FT/FPADM</t>
  </si>
  <si>
    <t>Falla u omisión en la verificación de las políticas y procedimientos sobre conocimiento para el accionista o del accionista en temas LA/FT/FPADM.</t>
  </si>
  <si>
    <t>Posibilidad de recibir prepagos de facturas por servicios prestados sin verificar el origen de los fondos.</t>
  </si>
  <si>
    <t>Posibilidad de utilización de un servicio prestado por la Firma para realizar operaciones relacionadas con LA/FT/FPADM.</t>
  </si>
  <si>
    <t>Omisión o falla en la estructuración de servicios prestados por la Firma.</t>
  </si>
  <si>
    <t>Posibilidad de utilización de un canal comercial o transaccional de la Firma para realizar operaciones relacionadas con LA/FT/FPADM.</t>
  </si>
  <si>
    <t>Omisión o falla en la verificación de las operaciones realizadas a través de los canales comerciales y/o transaccionales.</t>
  </si>
  <si>
    <t>Posibilidad de tener negocios en jurisdicciones de alto riesgo LA/FT/FPADM.</t>
  </si>
  <si>
    <t>Omisión o falla en la verificación de las políticas y procedimientos relacionados con LA/FT/FPADM.</t>
  </si>
  <si>
    <t>Omisión o falla en la ejecución de las políticas y procedimientos relacionados con LA/FT/FPADM.</t>
  </si>
  <si>
    <t>Posibilidad que en el proceso de pricing se antepongan metas o criterios comerciales a las políticas y/o procedimientos en materia de riesgo de LA/FT/FPADM.</t>
  </si>
  <si>
    <t>Falla u omisión en la aplicación de la política de anteponer el cumplimiento de las políticas y procedimientos en materia de riesgo LA/FT/FPADM a los objetivos o metas comerciales.</t>
  </si>
  <si>
    <t>Posibilidad de tener relación legal o contractual con clientes que realicen falsificación de documentos para su vinculación como por ejemplo:  información financiera, información de contacto, información demográfica y legal con el objetivo de vulnerar los procesos de la Firma y así poder vincularse y posiblemente realizar transacciones relacionadas con LA/FT/FPADM.</t>
  </si>
  <si>
    <t>Posibilidad de tener relación legal o contractual con proveedores que realicen falsificación de documentos para su vinculación como por ejemplo:  información financiera, información de contacto, información demográfica y legal con el objetivo de vulnerar los procesos de la Firma y así poder vincularse y posiblemente realizar transacciones relacionadas con LA/FT/FPADM.</t>
  </si>
  <si>
    <t>Falta de procedimientos que permitan garantizar la generación de información por parte del área de planeación financiera.</t>
  </si>
  <si>
    <t>Omisión o falla en la ejecución de procedimientos relacionados con la debida diligencia o debida diligencia intensificada en la creación del cliente.</t>
  </si>
  <si>
    <t>Posibilidad de crear clientes relacionadas con actividades LA/FT/FPADM.</t>
  </si>
  <si>
    <t>Posibilidad de crear proveedores (socios) relacionados con actividades LA/FT/FPADM.</t>
  </si>
  <si>
    <t>Posibilidad de tener relación legal o contractual con empresas fachada que realicen transacciones o contratos relacionados con LA/FT/FPADM.</t>
  </si>
  <si>
    <t>Omisión o falla en la ejecución de procedimientos relacionados con la debida diligencia intensificada en la creación del cliente.</t>
  </si>
  <si>
    <t>Posibilidad de utilizar una casa de cambio en el proceso de compra y/o venta de dólares para la entrega y/o pago de biáticos a los abogados que este relacionada con actividades LA/FT/FPADM.</t>
  </si>
  <si>
    <t>Omisión o falla en la ejecución de procedimientos relacionados con la debida diligencia y debida diligencia intensificada de conocimiento del proveedor.</t>
  </si>
  <si>
    <t>Posibilidad de tener relación legal o contractual con clientes persona jurídica con estructuras societarias complejas, que dificultan la identificación de sus accionistas y/o beneficiarios finales, facilitando el ocultamiento de personas cuya intención consiste en lavar activos o financiar el terrorismo.</t>
  </si>
  <si>
    <t>Posibilidad de vincular empleados que generen señales de alerta sin la verificación del Oficial de Cumplimiento.</t>
  </si>
  <si>
    <t>Posibilidad de contratar nuevos empleados que han tenido ocupaciones catalogadas por la Firma como de alto riesgo y puede estar relacionado con actividades de LA/FT/FPADM.</t>
  </si>
  <si>
    <t xml:space="preserve">Posibilidad de contratar nuevos empleados sobre los que se han emitido información negativa en medios de comunicación, están o han estado incluídos en procesos judiciales o administrativos por delitos relacionados con LA/FT/FPADM. </t>
  </si>
  <si>
    <t>Posibilidad de contratar nuevos empleados que se encuentren en listas vinculantes y de control.</t>
  </si>
  <si>
    <t>Posibilidad de contratar nuevos empleados que para su vinculación entreguen información falsificada de documentos con el objetivo de facilitar la realización de operaciones relacionadas al LA/FT/FPADM.</t>
  </si>
  <si>
    <t>Posibilidad de contratar nuevos empleados que se han desempeñado profesionalmente en jurisdicciones consideradas de alto riesgo LA/FT/FPADM.</t>
  </si>
  <si>
    <t>Posibilidad de contratar nuevos empleados relacionados con procesos altamente sensibles sin un estudio de seguridad.</t>
  </si>
  <si>
    <t>Posibilidad de tener relación legal o contratar bienes y servicios con Personas Expuestas Políticamente (PEP) que se puedan aprovechar de su condición para realizar actividades de LA/FT/FPADM.</t>
  </si>
  <si>
    <t xml:space="preserve">Posibilidad de tener relación legal o contratar bienes y servicios con relacionados de Personas Expuestas Políticamente (PEP) que se puedan aprovechar de su condición para realizar actividades de LA/FT/FPADM. </t>
  </si>
  <si>
    <t>Posibilidad de tener relación legal o contractual con Personas Expuestas Políticamente (PEP) que se puedan aprovechar de su condición para realizar actividades de LA/FT/FPADM.</t>
  </si>
  <si>
    <t xml:space="preserve">Posibilidad de tener relación legal o contractual con relacionados de Personas Expuestas Políticamente (PEP) que se puedan aprovechar de su condición para realizar actividades de LA/FT/FPADM. </t>
  </si>
  <si>
    <t>Reclutamiento y contratación</t>
  </si>
  <si>
    <t>Posibilidad de contratar nuevos empleados que son Personas Expuestas Políticamente (PEP) que se puedan aprovechar de su condición para realizar actividades de LA/FT/FPADM.</t>
  </si>
  <si>
    <t xml:space="preserve">Posibilidad de contratar nuevos empleados que están relacionados de Personas Expuestas Políticamente (PEP) que se puedan aprovechar de su condición para realizar actividades de LA/FT/FPADM. </t>
  </si>
  <si>
    <t>Posibilidad de contratar nuevos empleados que tengan antecedentes o investigaciones disciplinarias.</t>
  </si>
  <si>
    <t>Posibilidad de que un empleado aparezca en listas vinculantes y de control en la revisión periódica de éstas.</t>
  </si>
  <si>
    <t>Posibilidad que se antepongan metas o criterios comerciales a las políticas y/o procedimientos en materia de riesgo de LA/FT/FPADM para la obtención de bonos ofrecidos por la Firma.</t>
  </si>
  <si>
    <t>Omisión o falla en la ejecución de procedimientos relacionados con la debida diligencia intensificada de conocimiento del cliente.</t>
  </si>
  <si>
    <t>Omisión o falla en la ejecución de procedimientos relacionados con la debida diligencia intensificada.</t>
  </si>
  <si>
    <t>Posibilidad de generar una relación legal o contractual con un prospecto de cliente proveniente de reuniones con gremios o asociaciones que tenga actividades LA/FT/FPADM.</t>
  </si>
  <si>
    <t xml:space="preserve">Posibilidad de pérdida de información relacionada con la administración del riesgo LA/FT/FPADM. </t>
  </si>
  <si>
    <t>Posibilidad de ofrecimientos de dinero o dádivas a empleados del área adminsitrativa (archivo, correspondencia y mensajería) para obtener información comercial, legal o contractual de la Firma.</t>
  </si>
  <si>
    <t>Posibilidad de recibir una comunicación por parte de un ente de control relacionado con temas LA/FT/FPADM y el mismo no llegue a tiempo a la Oficial de Cumplimiento para dar respuesta en los términos del mismo.</t>
  </si>
  <si>
    <t>Posibilidad de ofrecimientos de dinero o dádivas por parte de proveedores a empleados del área adminsitrativa (servicios generales) para tener prioridad en la compra de servicios e insumos para la oficina.</t>
  </si>
  <si>
    <t>Posibilidad de fallas en las herramientas tecnológicas que soportan la actividad del Oficial de Cumplimiento en relación con el SAGRILAFT.</t>
  </si>
  <si>
    <t>Posibilidad de demoras en la atención de los requerimientos realizados por la Oficial de Cumplimiento a Tecnología en relación con temas LA/FT/FPADM.</t>
  </si>
  <si>
    <t>Posibilidad de vincular clientes que estén relacionados o realicen operaciones con Criptomonedas y que con puedan estar haciendo operaciones de LA/FT/FPADM.</t>
  </si>
  <si>
    <t>Posibilidad que prospectos de clientes vinculados a actividades LA/FT/FPADM busquen ser invitados a eventos, talleres, reuniones, entre otros, organizados o en los que participa la Firma, con el objetivo de establecer una relación comercial, legal o contractual.</t>
  </si>
  <si>
    <t>Servicios</t>
  </si>
  <si>
    <t>Posibilidad de exposición negativa frente a una entidad de supervisión, regulación y control por cambios normativos expedidos por estas.</t>
  </si>
  <si>
    <t>Posibilidad de tener relaciones contractuales, legales o comerciales con clientes vinculados al sector de la construcción, inmobiliarias y bienes raíces relacionados con delitos LA/FT/FPADM.</t>
  </si>
  <si>
    <t>Posibilidad de utilización del servicio de derecho inmobiliario prestado por la Firma para realizar operaciones relacionadas con LA/FT/FPADM.</t>
  </si>
  <si>
    <t>Posibilidad de utilización del servicio de derecho societario, reorganizaciones o reestructuraciones prestados por la Firma para realizar operaciones relacionadas con LA/FT/FPADM.</t>
  </si>
  <si>
    <t>Posibilidad de tener relaciones contractuales, legales o comerciales con clientes de sociedades relacionadas con delitos LA/FT/FPADM</t>
  </si>
  <si>
    <t>Posibilidad de tener relaciones contractuales, legales o comerciales con clientes vinculados a los sectores de minería de metales preciosos como oro, plata, platino y arenas minerales y uranio relacionados con delitos LA/FT/FPADM.</t>
  </si>
  <si>
    <t>Posibilidad de tener relaciones contractuales, legales o comerciales con clientes vinculados a los sectores de energía, petróleo, gas e infraestructura relacionados con delitos LA/FT/FPADM especialmente en temas de corrupción.</t>
  </si>
  <si>
    <t>Posibilidad de utilización del servicio de derecho energético y minero prestado por la Firma para realizar operaciones relacionadas con LA/FT/FPADM.</t>
  </si>
  <si>
    <t>Posibilidad de tener relaciones contractuales, legales o comerciales con clientes que tienen la obligación de tributar relacionados con delitos LA/FT/FPADM</t>
  </si>
  <si>
    <t>Posibilidad de utilización del servicio de derecho tributario prestado por la Firma para realizar operaciones relacionadas con LA/FT/FPADM.</t>
  </si>
  <si>
    <t>Posibilidad de tener relaciones contractuales, legales o comerciales con clientes que buscan realizar fusiones o adquisiciones relacionados con delitos LA/FT/FPADM</t>
  </si>
  <si>
    <t>Posibilidad de utilización del servicio de fusiones y adquisiciones prestado por la Firma para realizar operaciones relacionadas con LA/FT/FPADM.</t>
  </si>
  <si>
    <t>Omisión o falla en la verificación del establecimiento de relaciones comerciales a través de este canal.</t>
  </si>
  <si>
    <t>Omisión o falla en la ejecución de procedimientos relacionados con la debida diligencia de conocimiento del empleado.</t>
  </si>
  <si>
    <t>Omisión o falla en la ejecución de procedimientos relacionados con la debida diligencia y debida diligencia intensificada de conocimiento del empleado.</t>
  </si>
  <si>
    <t>Falla u omisión por parte del cliente en la aplicación del código de ética y conducta de la Firma.</t>
  </si>
  <si>
    <t>Falla u omisión en la aplicación del procedimiento de respuesta a requerimientos por parte de entes de control.</t>
  </si>
  <si>
    <t>Falla u omisión en la aplicación del procedimiento de conservación de archivo y documentación.</t>
  </si>
  <si>
    <t>Falla u omisión por parte del proveedor en la aplicación del código de ética y conducta de la Firma.</t>
  </si>
  <si>
    <t>Falla u omisión en los procedimientos relacionados con tecnología.</t>
  </si>
  <si>
    <t>Omisión o falla en la ejecución de procedimientos relacionados con la debida diligencia.</t>
  </si>
  <si>
    <t>Omisión o falla en la revisión y/o actualización de los cambios normativos expedidos por órganos de supervisión, regulación y control.</t>
  </si>
  <si>
    <t>Posibilidad de tener relaciones contractuales, legales o comerciales con clientes relacionados con delitos LA/FT/FPADM.</t>
  </si>
  <si>
    <t xml:space="preserve">Posibilidad de tener relación legal, contractual o comercial con clientes sobre las que se ha emitido información negativa en medios de comunicación, están o han estado incluídos en procesos judiciales o administrativos por delitos relacionados con LA/FT/FPADM. </t>
  </si>
  <si>
    <t xml:space="preserve">Posibilidad de tener relación legal, contractual o comercial con proveedores sobre las que se ha emitido información negativa en medios de comunicación, están o han estado incluido en procesos judiciales o administrativos por delitos relacionados con LA/FT/FPADM. </t>
  </si>
  <si>
    <t>Posibilidad  de tener relación legal, contractual o comercial con proveedores personas naturales o jurídicas con ocupaciones catalogadas por la Firma como de alto riesgo y que puedan estar relacionados con actividades de LA/FT/FPADM.</t>
  </si>
  <si>
    <t>Posibilidad  de tener relación legal, contractual o comercial con clientes personas naturales o jurídicas con ocupaciones catalogadas por la Firma como de alto riesgo y que puedan estar relacionados con actividades de LA/FT/FPADM.</t>
  </si>
  <si>
    <t>0034</t>
  </si>
  <si>
    <t>Proceso/Área de práctica</t>
  </si>
  <si>
    <t>VALORACIÓN CONSECUENCIA (IMPACTO)</t>
  </si>
  <si>
    <t>EVENTO DE RIESGO</t>
  </si>
  <si>
    <t>Evento de riesgo</t>
  </si>
  <si>
    <t>Segmento</t>
  </si>
  <si>
    <t>No. Riesgo</t>
  </si>
  <si>
    <t>Factor de riesgo</t>
  </si>
  <si>
    <t>Riesgo asociado</t>
  </si>
  <si>
    <t>Causa</t>
  </si>
  <si>
    <t>Consecuencias</t>
  </si>
  <si>
    <t>Valoración consecuencia riesgos asociados</t>
  </si>
  <si>
    <t>Valoración riesgo inherente</t>
  </si>
  <si>
    <t>Nivel del riesgo (Riesgo inherente)</t>
  </si>
  <si>
    <t>Tratamiento del riesgo</t>
  </si>
  <si>
    <t>Preventivo</t>
  </si>
  <si>
    <t>Detectivo</t>
  </si>
  <si>
    <t>Correctivo</t>
  </si>
  <si>
    <t>EFECTIVIDAD CONTROL</t>
  </si>
  <si>
    <t>Posibilidad de tener relaciones contractuales, legales o comerciales con proveedores relacionados con delitos LA/FT/FPADM.</t>
  </si>
  <si>
    <t>Posibilidad de tener relaciones contractuales, legales o comerciales con accionistas relacionados con delitos LA/FT/FPADM.</t>
  </si>
  <si>
    <t>Mitigar el riesgo de LA/FT/FPADM, Asegurar el cumplimiento de la política, Asegurar el cumplimiento del procedimiento, cumplir con las exigencias legales, normativas y de las buenas prácticas.</t>
  </si>
  <si>
    <t>Políticas</t>
  </si>
  <si>
    <t>Procedimientos</t>
  </si>
  <si>
    <t>Actividades de control</t>
  </si>
  <si>
    <t>Cada vez que se requiera</t>
  </si>
  <si>
    <t>Determinar los responsables. Tiempo de ejecución</t>
  </si>
  <si>
    <t>Plan/Programa</t>
  </si>
  <si>
    <t>Reporte del resultado de la verificación.</t>
  </si>
  <si>
    <t>Políticas/procedimientos</t>
  </si>
  <si>
    <t>Impacto total</t>
  </si>
  <si>
    <t>CLASE DE CONTROL</t>
  </si>
  <si>
    <t>RS</t>
  </si>
  <si>
    <t>DN</t>
  </si>
  <si>
    <t>EMI</t>
  </si>
  <si>
    <t>So</t>
  </si>
  <si>
    <t>Líder de Proceso</t>
  </si>
  <si>
    <t>Código evento</t>
  </si>
  <si>
    <t>Riesgos asociados</t>
  </si>
  <si>
    <t>INHERENTE</t>
  </si>
  <si>
    <t>RESIDUAL</t>
  </si>
  <si>
    <t>Revisión por la Dirección</t>
  </si>
  <si>
    <t>Mantenimiento de Infraestructura</t>
  </si>
  <si>
    <t>Colaboradores</t>
  </si>
  <si>
    <t>Posibilidad de utilización de un producto y/o servicio prestado por la Compañía para realizar operaciones relacionadas con LA/FT/FPADM.</t>
  </si>
  <si>
    <t>Posibilidad de utilización de un canal comercial o transaccional de la Compañía para realizar operaciones relacionadas con LA/FT/FPADM.</t>
  </si>
  <si>
    <t xml:space="preserve">Posibilidad de tener relaciones contractuales, legales o comerciales con clientes relacionados con delitos LA/FT/FPADM. </t>
  </si>
  <si>
    <t xml:space="preserve">Posibilidad de tener relaciones contractuales, legales o comerciales con colaboradores relacionados con delitos LA/FT/FPADM. </t>
  </si>
  <si>
    <t>Productos y/o servicios</t>
  </si>
  <si>
    <t>Posibilidad de entregar información incompleta o errónea al área encargada de responder un requerimiento sobre LA/FT/FPADM realizado por un ente de control. (sobre accionistas)</t>
  </si>
  <si>
    <t>Pago de facturas a un tercero sin verificar listas vinculantes y de control LA/FT/FPADM.</t>
  </si>
  <si>
    <t>Productos y/o servicos</t>
  </si>
  <si>
    <t>FAC7</t>
  </si>
  <si>
    <t>TNS01</t>
  </si>
  <si>
    <t>TNS02</t>
  </si>
  <si>
    <t>TNS04</t>
  </si>
  <si>
    <t>TNS19</t>
  </si>
  <si>
    <t>Procesos</t>
  </si>
  <si>
    <t>Distribuidores</t>
  </si>
  <si>
    <t>Gestores</t>
  </si>
  <si>
    <t>Contrapartes</t>
  </si>
  <si>
    <t>FAC8</t>
  </si>
  <si>
    <t>Sanción de multa por organismo nacional, suspensión parcial de actividades autorizadas, remoción de administradores o multa de organismos nacionales y/o procesos judiciales con fallo por parte de jueces en contra.</t>
  </si>
  <si>
    <t>MATRIZ LA/FT/FPADM LOTERÍA DE BOGOTÁ</t>
  </si>
  <si>
    <t>Planeación y Direccionamiento Estratégico</t>
  </si>
  <si>
    <t>Gestión de Comunicaciones</t>
  </si>
  <si>
    <t xml:space="preserve">Explotación de JSA </t>
  </si>
  <si>
    <t>Gestión de Recaudo</t>
  </si>
  <si>
    <t>Control Inspección y Fiscalización</t>
  </si>
  <si>
    <t>Atención y Servicio al Cliente</t>
  </si>
  <si>
    <t>Gestión de Talento Humano</t>
  </si>
  <si>
    <t>Gestión Financiera y Contable</t>
  </si>
  <si>
    <t>Gestión de Bienes y Servicios</t>
  </si>
  <si>
    <t>Gestión Documental</t>
  </si>
  <si>
    <t>Gestión de las Tecnologías y la Información</t>
  </si>
  <si>
    <t>Gestión Jurídica</t>
  </si>
  <si>
    <t>Evaluación Independiente y Control a la Gestión</t>
  </si>
  <si>
    <t>Control Interno Disciplinario</t>
  </si>
  <si>
    <t>Procesos/Áreas de práctica</t>
  </si>
  <si>
    <t>Efectos legales y reputacionales derivados de la relación con un Miembros de Junta Directiva y/o Representantes Legales involucrados en alguna actividad de LA/FT/FPADM.</t>
  </si>
  <si>
    <t>Efectos legales y reputacionales derivados de la relación con un contratista o contraparte involucrado en alguna actividad de LA/FT/FPADM.</t>
  </si>
  <si>
    <t>Fallas en procesos, personas, tecnología e infraestructura que no representan pérdida económica o interrupción de la operación por
menos de un (1) día.</t>
  </si>
  <si>
    <t xml:space="preserve">El riesgo afecta la imagen de
algún área y/o unidad de la
Entidad.
</t>
  </si>
  <si>
    <t>Fallas en procesos, personas, tecnología e infraestructura que representan pérdida económica o interrupción de la operación por
un (1) día completo.</t>
  </si>
  <si>
    <t xml:space="preserve">El riesgo afecta la imagen de la
Entidad internamente, de
conocimiento general, de Junta
Directiva, contratistas y/o
proveedores.
</t>
  </si>
  <si>
    <t xml:space="preserve">Fallas en procesos, personas, tecnología e infraestructura que representan pérdida económica o interrupción de la operación
mayor a un (1) día y menor a
dos (2) días.
</t>
  </si>
  <si>
    <t>El riesgo afecta la imagen de la
Entidad, con algunos usuarios de
relevancia frente al logro de los
objetivos.</t>
  </si>
  <si>
    <t>Efectos legales y reputacionales derivados de la relación con un contratista y/o servidor público involucrado en alguna actividad de LA/FT/FPADM.</t>
  </si>
  <si>
    <t xml:space="preserve">Fallas en procesos, personas, tecnología e infraestructura que representan pérdida económica o interrupción de la operación por
dos (2) días completos.
</t>
  </si>
  <si>
    <t>El riesgo afecta la imagen de la
Entidad, con efecto publicitario
sostenido a nivel de sector
administrativo, nivel
departamental o municipal.</t>
  </si>
  <si>
    <t>Clausura de la entidad, bloqueo económico o multas de organismos nacionales.</t>
  </si>
  <si>
    <t>Fallas en procesos, personas, tecnología e infraestructura que representan pérdida económica o interrupción de la operación por
más de dos (2) días completos.</t>
  </si>
  <si>
    <t xml:space="preserve">El riesgo afecta la imagen de la
Entidad, con efecto publicitario
sostenido a nivel nacional, con
efecto publicitario sostenido a
nivel país.
</t>
  </si>
  <si>
    <t>Leve</t>
  </si>
  <si>
    <t>Muy Baja</t>
  </si>
  <si>
    <t>La situación nunca ha ocurrido o difícilmente ocurrirá. No
obstante, el riesgo es concebible, no es esperable su
materialización.</t>
  </si>
  <si>
    <t>Baja</t>
  </si>
  <si>
    <t xml:space="preserve">La situación tiene una ocurrencia esporádica. La
materialización es esperable en un nivel mínimo.
</t>
  </si>
  <si>
    <t>Media</t>
  </si>
  <si>
    <t>Alta</t>
  </si>
  <si>
    <t xml:space="preserve">La situación tiene ocurrencia frecuente pero no continua. La
materialización del riesgo puede darse algunas veces en un
periodo.
</t>
  </si>
  <si>
    <t>Muy Alta</t>
  </si>
  <si>
    <t>La situación tiene ocurrencia frecuente y continua. La
materialización del riesgo ocurre con frecuencia o de forma
permanente.</t>
  </si>
  <si>
    <t>Los riesgos en este nivel representan una alta exposición LA/FT/FPADM para la Lotería, se deben aplicar medidas de debida diligencia ordinarias o intensificadas según su criticidad para prevenir o tratar en el corto plazo para asegurar una disminución en su nivel y se actualizarán y/o verificarán por mínimo anualmente.</t>
  </si>
  <si>
    <t>Los riesgos en este nivel representan una alta exposición LA/FT/FPADM para la Lotería, se deben aplicar medidas de debida diligencia intensificadas y  deben ser tratados de forma inmediata  para asegurar una disminución en su nivel o evitar tenerlos, se deben monitorear de manera permanente y se actualizarán y/o verificarán por mínimo semestralmente.</t>
  </si>
  <si>
    <t xml:space="preserve">La situación tiene una ocurrencia eventual. La materialización
del riesgo puede darse alguna vez.
</t>
  </si>
  <si>
    <t>Los riesgos en este nivel representan una baja exposición LA/FT/FPADM para la Lotería, estos no tendrán tratamiento, se actualizarán y verificarán por lo menos una vez cada año de acuerdo con las medidas simplificadas.</t>
  </si>
  <si>
    <t xml:space="preserve">Los riesgos en este nivel representan una mediana exposición LA/FT/FPADM para la Lotería que debe ser tratada por el propietario del riesgo en el mediano plazo y se deben aplicar medidas satisfactorias para la mitigación del mismo y se actualizarán y/o verificarán cada 12 meses. </t>
  </si>
  <si>
    <t>Mayor exposición de la Lotería al riesgo de LA/FT/FPADM.
Deterioro de los procesos operativos.
Pérdida de reputación.
Procesos judiciales, disciplinarios y/o legales.
Sanciones del supervisor, regulador y/o entes de control.
Pérdida de mercado.</t>
  </si>
  <si>
    <t>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t>
  </si>
  <si>
    <t>Mayor exposición de la Lotería al riesgo de LA/FT/FPADM.
Deterioro de los procesos operativos.
Procesos judiciales, disciplinarios y/o legales.
Sanciones del supervisor, regulador y/o entes de control.
Pérdida de mercado.
Evento de contagio que afecte a la Lotería por el efecto rebote.</t>
  </si>
  <si>
    <t>Mayor exposición de la Lotería al riesgo de LA/FT/FPADM.
Deterioro de los procesos operativos.
Pérdida de reputación.
Pérdida de mercado.
Evento de contagio que afecte a la Lotería por el efecto rebote.</t>
  </si>
  <si>
    <t>Mayor exposición de la Lotería al riesgo de LA/FT/FPADM.
Pérdida de reputación.
Procesos judiciales, disciplinarios y/o legales.
Sanciones del supervisor, regulador y/o entes de control.
Pérdida de mercado.
Evento de contagio que afecte a la Lotería por el efecto rebote.</t>
  </si>
  <si>
    <t>Mayor exposición de la Lotería al riesgo de LA/FT/FPADM.
Deterioro de los procesos operativos.
Procesos judiciales, disciplinarios y/o legales.
Sanciones del supervisor, regulador y/o entes de control.</t>
  </si>
  <si>
    <t>Mayor exposición de la Lotería al riesgo de LA/FT/FPADM.
Deterioro de los procesos operativos.</t>
  </si>
  <si>
    <t>Mayor exposición de la Lotería al riesgo de LA/FT/FPADM.
Pérdida de reputación.
Procesos judiciales, disciplinarios y/o legales.
Sanciones del supervisor, regulador y/o entes de control.</t>
  </si>
  <si>
    <t>LB01</t>
  </si>
  <si>
    <t>LB02</t>
  </si>
  <si>
    <t>LB03</t>
  </si>
  <si>
    <t>LB04</t>
  </si>
  <si>
    <t>LB09</t>
  </si>
  <si>
    <t>LB10</t>
  </si>
  <si>
    <t>Gestión del Control Interno Disciplinario</t>
  </si>
  <si>
    <t xml:space="preserve">1. Filtración de la información del ganador de lotería, a personas externas a la entidad.
2. Tercero interesado en delitos de LA/FT/FPADM.
3. Evadir impuestos recibiendo beneficios económicos de terceros por parte del ganador de lotería. </t>
  </si>
  <si>
    <t>Elaboración de Orden de Pago</t>
  </si>
  <si>
    <t>Inversión de Excedentes de Liquidez y CDT´S en Custodia</t>
  </si>
  <si>
    <t>Posibilidad de utilización de un canal comercial o transaccional de la Lotería  para realizar operaciones relacionadas con LA/FT/FPADM.</t>
  </si>
  <si>
    <t>Gestión de Egresos y Gestión de Ingresos</t>
  </si>
  <si>
    <t>1. Omisión o falla en la verificación de las operaciones realizadas a través de los canales comerciales y/o transaccionales.</t>
  </si>
  <si>
    <t>1. Omisión o falla en la verificación de las políticas y procedimientos sobre conocimiento para las contrapartes en temas LA/FT/FPADM.
2. No se realiza consulta en listas vinculantes y de control (listas restrictivas).</t>
  </si>
  <si>
    <t>Gestión de LA/FT/FPADM</t>
  </si>
  <si>
    <t>Identificación y Análisis de Señales de Alerta y Análisis, Determinación y Reporte de Operaciones Inusuales</t>
  </si>
  <si>
    <t>Posibilidad de entregar información incompleta o errónea al área encargada de responder un requerimiento sobre LA/FT/FPADM realizado por un ente de control. (sobre todas las contrapartes)</t>
  </si>
  <si>
    <t>1. Omisión o falla en la aplicación del procedimiento de respuesta a requerimientos por parte de entes de control.</t>
  </si>
  <si>
    <t>Atención a Solicitudes y Requerimientos de Información por Parte de Autoridades Competentes y Entes Externos.</t>
  </si>
  <si>
    <t>Contratistas</t>
  </si>
  <si>
    <t>FAC9</t>
  </si>
  <si>
    <t>Preparación de Declaraciones Tributarias</t>
  </si>
  <si>
    <t>Gestión de Cartera</t>
  </si>
  <si>
    <t>Gestión de Ingresos</t>
  </si>
  <si>
    <t>1. Omisión o falla en la verificación del origen de los recursos con los que el la contraparte paga un producto y/o servicio.</t>
  </si>
  <si>
    <t>1.Omisión o falla por parte del Servidor Público y/o Contratista en la aplicación del Código de Integridad y Ética y conducta de la Entidad.</t>
  </si>
  <si>
    <t>Atención a Solicitudes, Peticiones, Quejas y Reclamos</t>
  </si>
  <si>
    <t>Servidores Públicos y/o Contratistas</t>
  </si>
  <si>
    <t>FAC10</t>
  </si>
  <si>
    <t>Convocatoria, Selección y Vinculación de Personal</t>
  </si>
  <si>
    <t>Vinculación PEP´S y/o Alto Riesgo y Debida Diligencia Ampliada</t>
  </si>
  <si>
    <t>Inducción y Reinducción</t>
  </si>
  <si>
    <t>1. Omisión o falla en la ejecución de procedimientos relacionados con la debida diligencia y debida dilegencia ampliada de  los Trabajadores Oficiales y Servidores de Libre Nombramiento y Remoción.</t>
  </si>
  <si>
    <t>Auditoría Interna</t>
  </si>
  <si>
    <t>Control de Documentos y Gestión de Archivo</t>
  </si>
  <si>
    <t>Plan Estratégico</t>
  </si>
  <si>
    <t>1. Omisión o falla en la aplicación del procedimiento de la creación y/o actualización del Plan Estratégico de la Entidad.</t>
  </si>
  <si>
    <t>FAC11</t>
  </si>
  <si>
    <t>1. Omisión o falla de la verificación en diversos medios de comunicación.</t>
  </si>
  <si>
    <t>Adquisición de Recursos Tencnológicos</t>
  </si>
  <si>
    <t>1. Omisión o falla en la aplicación del procedimiento de conservación de archivo y documentación.</t>
  </si>
  <si>
    <t>Administración de Usuarios</t>
  </si>
  <si>
    <t>1. Omisión o falla en la ejecución de procedimientos relacionados con la debida diligencia de conocimiento de los usuarios y/o clientes de la página web de la Lotería</t>
  </si>
  <si>
    <t>Contratación por Invitación Abierta, Directa, Privada, Licitación Pública, colaboradores de la Entidad.</t>
  </si>
  <si>
    <t>Concesionario</t>
  </si>
  <si>
    <t>1. Omisión o falla en la ejecución de procedimientos relacionados con el pago de premios.</t>
  </si>
  <si>
    <t>Recepción y Validación de Premios</t>
  </si>
  <si>
    <t>Inscripción, Registro de Distribuidores y Asignación de Cupo</t>
  </si>
  <si>
    <t>Control y Seguiemiento al Juego de Apuestas Permanentes o Chanche</t>
  </si>
  <si>
    <t>LAFT16</t>
  </si>
  <si>
    <t>Transversal a Todas las Áreas y/o Unidades</t>
  </si>
  <si>
    <t>Transversal a las Áreas y/o Unidades indicadas en el proceso</t>
  </si>
  <si>
    <t>LAFT17</t>
  </si>
  <si>
    <t>Gestión de Bienes y Servicios - Gestión de Talento Humano</t>
  </si>
  <si>
    <t>Convocatoria, Selección y Vinculación de Personal - Contratación por Invitación Abierta, Directa, Privada, Licitación Pública, colaboradores de la Entidad</t>
  </si>
  <si>
    <t>LAFT18</t>
  </si>
  <si>
    <t>Explotación de JSA - Control Inspección y Fiscalización</t>
  </si>
  <si>
    <t>Inscripción, Registro de Distribuidores y Asignación de Cupo - Control y Seguiemiento al Juego de Apuestas Permanentes o Chanche</t>
  </si>
  <si>
    <t>LB06</t>
  </si>
  <si>
    <t>FAC12</t>
  </si>
  <si>
    <t>Distribuidores y Gestores</t>
  </si>
  <si>
    <t>Servidores Públicos</t>
  </si>
  <si>
    <t>Posibilidad de no identificar señales de alerta y/u operaciones inusuales cualitativas y cuantitativas dentro de los movimientos de los Trabajadores Oficiales, Trabajadores de Libre Nombramiento y Remoción, Contratistas, Proveedores, Gestores, Distribuidores y demás Contrapartes.</t>
  </si>
  <si>
    <t>LAFT19</t>
  </si>
  <si>
    <t>Explotación de JSA - Control Inspección y Fiscalización - Gestión de Talento Humano - Gestión Jurídica</t>
  </si>
  <si>
    <t>Posibilidad de que los distribuidores y gestores de la Lotería de Bogotá realicen el pago y/o entrega de un premio en dinero o en especie, sin aplicar los protocolos de consulta en las listas vinculantes y de control.</t>
  </si>
  <si>
    <t>Posibilidad de tener vínculo contractual con contrapartes que aparezcan en listas vinculantes y de control LA/FT/FPADM en la revisión periódica-masiva de éstas.</t>
  </si>
  <si>
    <t xml:space="preserve">Posibilidad de que un ganador del premio de la lotería venda o realice algun tipo de negociación con un tercero, para transferir la propiedad del billete de lotería con la finalidad de realizar una operación de LA/FT/FPADM. </t>
  </si>
  <si>
    <t xml:space="preserve">Posibilidad de pérdida y/o extracción de información relacionada con las bases de datos de la Lotería, que pueda ser utilizada por terceros para realizar actividades de LA/FT/FPADM. </t>
  </si>
  <si>
    <t>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t>
  </si>
  <si>
    <t>Posibilidad de tener algún tipo de vínculo contractual con Personas Expuestas Políticamente (PEP) que se puedan aprovechar de su condición para realizar actividades de LA/FT/FPADM. (No es problemático tener esta relación contractual, el problema está en desconocerla)</t>
  </si>
  <si>
    <t>Posibilidad de tener vínculo contractual con contrapartes internas y externas sobre los que se ha emitido información negativa en medios de comunicación, están o han estado incluídos en procesos judiciales o administrativos por delitos relacionados con LA/FT/FPADM, que puedan permear a la Lotería de Bogotá</t>
  </si>
  <si>
    <t>Posibilidad de pagar premios a usuarios y/o clientes en la página web de la Lotería o de manera tradicional, sin verificar la identidad del ganador y/o que este relacionado en actividades de LA/FT/FPADM.</t>
  </si>
  <si>
    <t>Verificar al momento de la vinculación el correcto y completo diligenciamiento del formato FRO330-532 Vinculación Persona Jurídica, FRO330-533 Vinculación Persona Natural, FRO105-474 Declaración de Aceptación y Conocimiento de las Políticas Anticorrupción y Gestión Antisoborno y FRO105-475 Seguimiento Código de Integridad y Ética. Adicionalmente, verificar que la información diligenciada sea consistente con los demás documentos entregados.</t>
  </si>
  <si>
    <t>Diligenciar el formato "FRO105-514 Acuerdo de Confidencialidad" para todos los colaboradores de la Lotería.</t>
  </si>
  <si>
    <t>Realizar una capacitación al año en donde se explique en que consisten las señales de alerta, operaciones inusuales, operaciones sospechosas, tipologías y generalidades de Sistema de Administración de Riesgos de LA/FT/FPADM.  Adicionalmente, realizar diversas socializaciones al año por medios de difusión como correos electrónicos institucionales, grupo de  whatsapp de la entidad, cartetelas físicas de la entidad, entre otros.</t>
  </si>
  <si>
    <t>Posibilidad de no incluir en el Plan Estratégico de la Lotería, el tema de LA/FT/FPADM.</t>
  </si>
  <si>
    <t>Realizar los procesos de seguridad de la información implementados por la Oficina de Gestión Tecnológica e Innovación.</t>
  </si>
  <si>
    <t>Realizar una capacitación al año en donde se expliquen los temas de Tratamiento de Datos Personales y Seguridad de la Información.  Adicionalmente, realizar diversas socializaciones al año por medios de difusión como correos electrónicos institucionales, grupo de  whatsapp de la entidad, cartetelas físicas de la entidad, entre otros.</t>
  </si>
  <si>
    <t>Realizar capacitaciones y/u socializaciones a los posibles cientes por medio de campañas publicitarias de "Yo Juego Legal"</t>
  </si>
  <si>
    <t>Realizar una capacitación al año en donde se explique en que consisten las consultas en listas vinculantes y de control y generalidades de Sistema de Administración de Riesgos de LA/FT/FPADM. Adicionalmente, realizar diversas socializaciones al año por diferentes medios de difusión como correos electrónicos.</t>
  </si>
  <si>
    <t>Diligenciar el formato consulta en listas vinculantes y de control y remitirlo a la Lotería de Bogotá.</t>
  </si>
  <si>
    <t>Realizar consulta en listas vinculantes y de control por parte de la Lotería de Bogota para verificar la información suministrada por los distribuidores y los gestores.</t>
  </si>
  <si>
    <t>LB05</t>
  </si>
  <si>
    <t>LB07</t>
  </si>
  <si>
    <t>LB08</t>
  </si>
  <si>
    <t>LB11</t>
  </si>
  <si>
    <t>LB12</t>
  </si>
  <si>
    <t>LB13</t>
  </si>
  <si>
    <t>LB14</t>
  </si>
  <si>
    <t xml:space="preserve">                                                       1.Omisión o falla en la parametrización de señales de alerta y/o indicadores descriptivos y prospectivos para los Trabajadores Oficiales,  Trabajadores de Libre Nombramiento y Remoción y Contratistas</t>
  </si>
  <si>
    <t>Oficial de Cumplimiento Principal y/o Suplente</t>
  </si>
  <si>
    <t>Soportes de la capacitación.</t>
  </si>
  <si>
    <t>Consultar a todas las áreas de la entidad vía correo electrónico institucional y/o memorando interno por medio del SIGA si registra señales de alerta y/u operaciones inusuales e invitarlos a diligenciar el Formato "FRO105-513 Reportes al Oficial de Cumplimiento" de las alertas que se identifiquen por parte de todos los servidores públicos y contratistas.</t>
  </si>
  <si>
    <t>Atender las alertas diarias que envía el sistema SDQS sobre PQRS pendientes por gestionar, así como la matriz que envía Atención al Cliente de manera semanal y realizar revisión y seguimiento por parte del responsable de radicación de documentos referentes al LA/FT/FPADM.</t>
  </si>
  <si>
    <t>Atención al Cliente</t>
  </si>
  <si>
    <t>Secretaría General 
Talento Humano
Oficial de Cumplimiento Principal y/o Suplente</t>
  </si>
  <si>
    <t>Solicitar al Oficial de Cumplimiento vía memorando interno SIGA o correo electrónico institucional la Consulta en Listas Vinculantes y de Control (listas restrictivas), previo a cualquier tipo de relación contractual con personas naturales y/o personas jurídicas.</t>
  </si>
  <si>
    <t>Posibilidad de tener relaciones contractuales, legales, comerciales, alianzas o convenios con contrapartes relacionadas con delitos de LA/FT/FPADM y/o que se encuentren en listas vinculantes y de control LA/FT/FPADM.</t>
  </si>
  <si>
    <t>Soportes de la solicitud de consulta</t>
  </si>
  <si>
    <t>Unidad Financiera y Contable</t>
  </si>
  <si>
    <t>Realizar conciliaciones verificando saldos de cuentas en libros auxiliares y en el balance general de la Lotería de Bogotá.</t>
  </si>
  <si>
    <t>Realizar conciliaciones de recaudos de acuerdo a los archivos planos enviados por la Tesoreria.</t>
  </si>
  <si>
    <t>Unidad Financiera y Contable (Tesorería)</t>
  </si>
  <si>
    <t>Unidad Financiera y Contable (Cartera)</t>
  </si>
  <si>
    <t>Documento y/o formato firmado de origen de fondos</t>
  </si>
  <si>
    <t>Crear y verificar el diligenciamiento de un formato, clausula de los contratos, convenios, o en algún tipo de documento en donde se registre que la contraparte utiliza dineros de carácter lícito, tanto de entrada como de salida de su negocio (Origen de Fondos).</t>
  </si>
  <si>
    <t>Soportes del formato debidamente diligenciado</t>
  </si>
  <si>
    <t>Seguimiento a los formatos FRO330-532 Vinculación Persona Jurídica, FRO330-533 Vinculación Persona Natural, para revisar si se identificó una Persona Políticamente Expuesta (PEP)</t>
  </si>
  <si>
    <t>Elaborar y enviar memorando a los Servidores Públicos y Contratistas identificados como PEP al interior de la entidad según el Decreto 830 de 2021, solicitando el diligenciamiento del Formato FRO105-546-1</t>
  </si>
  <si>
    <t>Realizar una capacitación al año en donde se explique en que consisten las Personas Políticamente Expuestas (PEP) y generalidades de Sistema de Administración de Riesgos de LA/FT/FPADM.  Adicionalmente, realizar diversas socializaciones al año por medios de difusión como correos electrónicos institucionales, grupo de  whatsapp de la entidad, cartetelas físicas de la entidad, entre otros.</t>
  </si>
  <si>
    <t>Área de Planeación Estratégica</t>
  </si>
  <si>
    <t>Constatar en redes sociales y medios de comunicación, si se publicaron noticias negativas relacionadas con LA/FT/FPADM que puedan permear a la Lotería de Bogotá</t>
  </si>
  <si>
    <t>Subgerencia General - Comunicaciones</t>
  </si>
  <si>
    <t>Realizar consulta en listas vinculantes y de control al momento de la vinculación y masiva una vez al año, en este se generan noticias en medios de comunicación públicos, procesos judiciales o administrativos.</t>
  </si>
  <si>
    <t>Oficial de Protección de Datos -
Oficina de Gestión Tecnológica e Innovación.</t>
  </si>
  <si>
    <t>Oficina de Gestión Tecnológica e Innovación.</t>
  </si>
  <si>
    <t>Unidad de Apuestas y Control de Juegos - 
Dirección de Operación de Productos y Comercialización</t>
  </si>
  <si>
    <t>Diligenciar el formulario de ganadores de premios emitido por la Unidad de Loterías FRO400-300 según los montos establecidos en el Acuerdo 574 de 2021 del CNJSA</t>
  </si>
  <si>
    <t>Dirección de Operación de Productos y Comercialización</t>
  </si>
  <si>
    <t>Solicitar al Oficial de Cumplimiento vía memorando interno SIGA o correo electrónico institucional la Consulta en Listas Vinculantes y de Control (listas restrictivas), previo a pago de premios según los montos registrados en el Acuerdo 574 del CNJSA.</t>
  </si>
  <si>
    <t>Publicidad y/o piezas gráficas</t>
  </si>
  <si>
    <t>Realizar consulta en listas vinculantes y de control de manera masiva como mínimo una vez al año.</t>
  </si>
  <si>
    <t>Verificar que el Formato "FRO105-513 Reportes al Oficial de Cumplimiento"se encuentre debidamente actualizado y levantar un acta de revisión.</t>
  </si>
  <si>
    <t>Verificar que la política de Atención a Solicitudes y Requerimientos de Información por Parte de las Autoridades Competentes y Entes Externos, se encuentre debidamente actualizada  y levantar un acta de revisión.</t>
  </si>
  <si>
    <t>Verificar que la política y procedimiento de Conocimiento de Contrapartes y Consultas en Listas Vinculantes y de Control (Listas Restrictivas) se encuentren debidamente actualizados  y levantar un acta de revisión.</t>
  </si>
  <si>
    <t>Verificar que las políticas y procedimientos de Conocimiento de Contrapartes se encuentren debidamente actualizados y levantar un acta de revisión.</t>
  </si>
  <si>
    <t>Verificar en el mapa de procesos de la Lotería de Bogotá que se encuentre incluido el tema del Sistema de Administración de Riesgos de Lavado de Activos, Financiación del Terrorismo y Proliferación de Armas de Destrucción Masiva LA/FT/FPADM.</t>
  </si>
  <si>
    <t>Realizar revisión de los usuarios registrados en la página web de la entidad, para verificar si la información inscrita es correcta y válida.</t>
  </si>
  <si>
    <t>Posibilidad de que los ganadores de premios de la Lotería de Bogotá realicen cobros del premio de manera fraccionada.</t>
  </si>
  <si>
    <t>Solicitar al Oficial de Cumplimiento vía memorando interno SIGA o correo electrónico institucional la Consulta en Listas Vinculantes y de Control (listas restrictivas), previo al pago del premio.</t>
  </si>
  <si>
    <t>Verificar en las bases de datos de ganadores de premios, si el mismo ganador ya ha cobrado francciones anteriormente.</t>
  </si>
  <si>
    <t>LB15</t>
  </si>
  <si>
    <t>VERSIÓN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</si>
</sst>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
    <numFmt numFmtId="166" formatCode="0.000000"/>
    <numFmt numFmtId="167" formatCode="0.0"/>
  </numFmts>
  <fonts count="35" x14ac:knownFonts="1">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10"/>
      <color theme="0"/>
      <name val="Calibri"/>
      <family val="2"/>
      <scheme val="minor"/>
    </font>
    <font>
      <sz val="10"/>
      <color indexed="64"/>
      <name val="Arial"/>
      <family val="2"/>
    </font>
    <font>
      <b/>
      <sz val="14"/>
      <color theme="0"/>
      <name val="Candara"/>
      <family val="2"/>
    </font>
    <font>
      <b/>
      <sz val="12"/>
      <color theme="0"/>
      <name val="Candara"/>
      <family val="2"/>
    </font>
    <font>
      <b/>
      <sz val="18"/>
      <color theme="0"/>
      <name val="Candara"/>
      <family val="2"/>
    </font>
    <font>
      <b/>
      <sz val="18"/>
      <name val="Candara"/>
      <family val="2"/>
    </font>
    <font>
      <sz val="10"/>
      <color theme="1"/>
      <name val="Arial"/>
      <family val="2"/>
    </font>
    <font>
      <sz val="8"/>
      <color theme="1"/>
      <name val="Calibri"/>
      <family val="2"/>
      <scheme val="minor"/>
    </font>
    <font>
      <sz val="11"/>
      <name val="Calibri"/>
      <family val="2"/>
      <scheme val="minor"/>
    </font>
    <font>
      <sz val="11"/>
      <color theme="0"/>
      <name val="Calibri"/>
      <family val="2"/>
      <scheme val="minor"/>
    </font>
    <font>
      <sz val="14"/>
      <color theme="1"/>
      <name val="Candara"/>
      <family val="2"/>
    </font>
    <font>
      <b/>
      <sz val="14"/>
      <color theme="1"/>
      <name val="Candara"/>
      <family val="2"/>
    </font>
    <font>
      <sz val="12"/>
      <color theme="1" tint="0.499984740745262"/>
      <name val="Candara"/>
      <family val="2"/>
    </font>
    <font>
      <b/>
      <sz val="12"/>
      <color theme="1" tint="0.499984740745262"/>
      <name val="Candara"/>
      <family val="2"/>
    </font>
    <font>
      <b/>
      <sz val="10"/>
      <color theme="0"/>
      <name val="Candara"/>
      <family val="2"/>
    </font>
    <font>
      <b/>
      <sz val="10"/>
      <color theme="1"/>
      <name val="Calibri"/>
      <family val="2"/>
      <scheme val="minor"/>
    </font>
    <font>
      <sz val="12"/>
      <name val="Calibri"/>
      <family val="2"/>
      <scheme val="minor"/>
    </font>
    <font>
      <b/>
      <sz val="11"/>
      <color theme="0"/>
      <name val="Calibri"/>
      <family val="2"/>
      <scheme val="minor"/>
    </font>
    <font>
      <b/>
      <sz val="11"/>
      <name val="Calibri"/>
      <family val="2"/>
      <scheme val="minor"/>
    </font>
    <font>
      <sz val="12"/>
      <color rgb="FF808080"/>
      <name val="Candara"/>
      <family val="2"/>
    </font>
    <font>
      <sz val="8"/>
      <name val="Calibri"/>
      <family val="2"/>
      <scheme val="minor"/>
    </font>
    <font>
      <sz val="11"/>
      <color rgb="FFFF0000"/>
      <name val="Calibri"/>
      <family val="2"/>
      <scheme val="minor"/>
    </font>
    <font>
      <b/>
      <sz val="10"/>
      <color theme="0"/>
      <name val="Arial"/>
      <family val="2"/>
    </font>
    <font>
      <sz val="9"/>
      <color rgb="FF000000"/>
      <name val="Calibri"/>
      <family val="2"/>
      <scheme val="minor"/>
    </font>
    <font>
      <b/>
      <sz val="12"/>
      <color theme="0"/>
      <name val="Calibri"/>
      <family val="2"/>
      <scheme val="minor"/>
    </font>
    <font>
      <b/>
      <sz val="12"/>
      <name val="Candara"/>
      <family val="2"/>
    </font>
    <font>
      <b/>
      <sz val="12"/>
      <color theme="1"/>
      <name val="Candara"/>
      <family val="2"/>
    </font>
    <font>
      <b/>
      <sz val="14"/>
      <name val="Candara"/>
      <family val="2"/>
    </font>
  </fonts>
  <fills count="22">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33CC3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indexed="22"/>
        <bgColor indexed="64"/>
      </patternFill>
    </fill>
    <fill>
      <patternFill patternType="solid">
        <fgColor rgb="FF99CC0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3" tint="-0.249977111117893"/>
        <bgColor indexed="64"/>
      </patternFill>
    </fill>
    <fill>
      <patternFill patternType="solid">
        <fgColor rgb="FFED3338"/>
        <bgColor indexed="64"/>
      </patternFill>
    </fill>
    <fill>
      <patternFill patternType="solid">
        <fgColor rgb="FFEC3338"/>
        <bgColor indexed="64"/>
      </patternFill>
    </fill>
    <fill>
      <patternFill patternType="solid">
        <fgColor rgb="FF980B27"/>
        <bgColor indexed="64"/>
      </patternFill>
    </fill>
    <fill>
      <patternFill patternType="solid">
        <fgColor theme="6"/>
        <bgColor indexed="64"/>
      </patternFill>
    </fill>
    <fill>
      <patternFill patternType="solid">
        <fgColor rgb="FF00B050"/>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theme="0" tint="-0.24994659260841701"/>
      </top>
      <bottom style="double">
        <color indexed="64"/>
      </bottom>
      <diagonal/>
    </border>
    <border>
      <left style="double">
        <color theme="0" tint="-0.24994659260841701"/>
      </left>
      <right/>
      <top style="double">
        <color theme="0" tint="-0.24994659260841701"/>
      </top>
      <bottom style="double">
        <color theme="0" tint="-0.24994659260841701"/>
      </bottom>
      <diagonal/>
    </border>
    <border>
      <left/>
      <right style="double">
        <color theme="0" tint="-0.24994659260841701"/>
      </right>
      <top style="double">
        <color theme="0" tint="-0.24994659260841701"/>
      </top>
      <bottom style="double">
        <color theme="0" tint="-0.24994659260841701"/>
      </bottom>
      <diagonal/>
    </border>
    <border>
      <left style="double">
        <color theme="0" tint="-0.24994659260841701"/>
      </left>
      <right style="double">
        <color theme="0" tint="-0.24994659260841701"/>
      </right>
      <top style="double">
        <color indexed="64"/>
      </top>
      <bottom/>
      <diagonal/>
    </border>
    <border>
      <left style="thin">
        <color theme="0" tint="-0.24994659260841701"/>
      </left>
      <right style="thin">
        <color theme="0" tint="-0.24994659260841701"/>
      </right>
      <top/>
      <bottom/>
      <diagonal/>
    </border>
    <border>
      <left style="double">
        <color theme="0" tint="-0.24994659260841701"/>
      </left>
      <right style="double">
        <color theme="0" tint="-0.24994659260841701"/>
      </right>
      <top style="double">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n">
        <color theme="0" tint="-0.34998626667073579"/>
      </top>
      <bottom style="thin">
        <color theme="0" tint="-0.24994659260841701"/>
      </bottom>
      <diagonal/>
    </border>
    <border>
      <left/>
      <right/>
      <top style="thin">
        <color theme="0" tint="-0.34998626667073579"/>
      </top>
      <bottom style="thin">
        <color theme="0" tint="-0.24994659260841701"/>
      </bottom>
      <diagonal/>
    </border>
    <border>
      <left/>
      <right/>
      <top style="thin">
        <color theme="0" tint="-0.34998626667073579"/>
      </top>
      <bottom style="thin">
        <color theme="0" tint="-0.34998626667073579"/>
      </bottom>
      <diagonal/>
    </border>
  </borders>
  <cellStyleXfs count="8">
    <xf numFmtId="0" fontId="0" fillId="0" borderId="0"/>
    <xf numFmtId="0" fontId="1" fillId="0" borderId="0"/>
    <xf numFmtId="0" fontId="3" fillId="0" borderId="0"/>
    <xf numFmtId="9" fontId="1" fillId="0" borderId="0" applyFont="0" applyFill="0" applyBorder="0" applyAlignment="0" applyProtection="0"/>
    <xf numFmtId="164" fontId="8" fillId="0" borderId="0" applyFont="0" applyFill="0" applyBorder="0" applyAlignment="0" applyProtection="0"/>
    <xf numFmtId="0" fontId="3" fillId="0" borderId="0"/>
    <xf numFmtId="0" fontId="1" fillId="0" borderId="0"/>
    <xf numFmtId="164" fontId="3" fillId="0" borderId="0" applyFont="0" applyFill="0" applyBorder="0" applyAlignment="0" applyProtection="0"/>
  </cellStyleXfs>
  <cellXfs count="237">
    <xf numFmtId="0" fontId="0" fillId="0" borderId="0" xfId="0"/>
    <xf numFmtId="0" fontId="0" fillId="0" borderId="0" xfId="0" applyAlignment="1">
      <alignment horizontal="center"/>
    </xf>
    <xf numFmtId="0" fontId="6" fillId="7" borderId="0" xfId="0" applyFont="1" applyFill="1" applyAlignment="1">
      <alignment horizontal="center" vertical="center" wrapText="1"/>
    </xf>
    <xf numFmtId="0" fontId="6" fillId="7" borderId="0" xfId="0" applyFont="1" applyFill="1"/>
    <xf numFmtId="0" fontId="6" fillId="7" borderId="0" xfId="0" applyFont="1" applyFill="1" applyAlignment="1">
      <alignment horizontal="center" vertical="center"/>
    </xf>
    <xf numFmtId="0" fontId="2" fillId="0" borderId="0" xfId="0" applyFont="1"/>
    <xf numFmtId="0" fontId="5" fillId="7" borderId="0" xfId="0" applyFont="1" applyFill="1" applyAlignment="1">
      <alignment horizontal="center" vertical="center" wrapText="1"/>
    </xf>
    <xf numFmtId="0" fontId="2" fillId="9" borderId="1" xfId="0" applyFont="1" applyFill="1" applyBorder="1"/>
    <xf numFmtId="0" fontId="0" fillId="0" borderId="1" xfId="0" applyBorder="1"/>
    <xf numFmtId="0" fontId="2" fillId="9" borderId="2" xfId="0" applyFont="1" applyFill="1" applyBorder="1"/>
    <xf numFmtId="0" fontId="0" fillId="0" borderId="3" xfId="0" applyBorder="1"/>
    <xf numFmtId="0" fontId="0" fillId="0" borderId="4" xfId="0" applyBorder="1"/>
    <xf numFmtId="0" fontId="0" fillId="0" borderId="7" xfId="0" applyBorder="1"/>
    <xf numFmtId="0" fontId="0" fillId="0" borderId="5" xfId="0" applyBorder="1" applyAlignment="1">
      <alignment vertical="center"/>
    </xf>
    <xf numFmtId="0" fontId="14" fillId="0" borderId="0" xfId="0" applyFont="1"/>
    <xf numFmtId="0" fontId="15" fillId="0" borderId="0" xfId="0" applyFont="1"/>
    <xf numFmtId="0" fontId="4" fillId="7" borderId="0" xfId="0" applyFont="1" applyFill="1" applyAlignment="1">
      <alignment horizontal="center" vertical="center" wrapText="1"/>
    </xf>
    <xf numFmtId="0" fontId="19" fillId="0" borderId="0" xfId="0" applyFont="1" applyAlignment="1">
      <alignment horizontal="left"/>
    </xf>
    <xf numFmtId="0" fontId="0" fillId="0" borderId="0" xfId="0" applyAlignment="1">
      <alignment horizontal="center" vertical="center"/>
    </xf>
    <xf numFmtId="166" fontId="0" fillId="0" borderId="0" xfId="0" applyNumberFormat="1"/>
    <xf numFmtId="0" fontId="17" fillId="0" borderId="0" xfId="0" applyFont="1" applyAlignment="1">
      <alignment vertical="center" wrapText="1"/>
    </xf>
    <xf numFmtId="0" fontId="5" fillId="7" borderId="0" xfId="0" applyFont="1" applyFill="1"/>
    <xf numFmtId="0" fontId="4" fillId="7" borderId="0" xfId="0" applyFont="1" applyFill="1" applyAlignment="1">
      <alignment horizontal="center"/>
    </xf>
    <xf numFmtId="0" fontId="5" fillId="7" borderId="0" xfId="0" applyFont="1" applyFill="1" applyAlignment="1">
      <alignment horizontal="center"/>
    </xf>
    <xf numFmtId="0" fontId="16" fillId="0" borderId="0" xfId="0" applyFont="1"/>
    <xf numFmtId="0" fontId="6" fillId="0" borderId="0" xfId="0" applyFont="1"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vertical="center"/>
    </xf>
    <xf numFmtId="0" fontId="15" fillId="0" borderId="0" xfId="0" applyFont="1" applyAlignment="1">
      <alignment vertical="center"/>
    </xf>
    <xf numFmtId="0" fontId="5" fillId="7" borderId="0" xfId="0" applyFont="1" applyFill="1" applyAlignment="1">
      <alignment vertical="center"/>
    </xf>
    <xf numFmtId="0" fontId="15" fillId="0" borderId="0" xfId="0" applyFont="1" applyAlignment="1">
      <alignment horizontal="center" vertical="center"/>
    </xf>
    <xf numFmtId="0" fontId="15" fillId="0" borderId="10" xfId="0" applyFont="1" applyBorder="1" applyAlignment="1">
      <alignment vertical="center"/>
    </xf>
    <xf numFmtId="165" fontId="5" fillId="7" borderId="10" xfId="0" applyNumberFormat="1" applyFont="1" applyFill="1" applyBorder="1" applyAlignment="1">
      <alignment horizontal="center" vertical="center"/>
    </xf>
    <xf numFmtId="0" fontId="25" fillId="7" borderId="0" xfId="0" applyFont="1" applyFill="1" applyAlignment="1">
      <alignment horizontal="center"/>
    </xf>
    <xf numFmtId="0" fontId="0" fillId="0" borderId="0" xfId="0" applyAlignment="1">
      <alignment vertical="center"/>
    </xf>
    <xf numFmtId="0" fontId="2" fillId="0" borderId="0" xfId="0" applyFont="1" applyAlignment="1">
      <alignment horizontal="center" vertical="center"/>
    </xf>
    <xf numFmtId="0" fontId="24" fillId="0" borderId="0" xfId="0" applyFont="1"/>
    <xf numFmtId="0" fontId="19" fillId="0" borderId="0" xfId="0" applyFont="1" applyAlignment="1">
      <alignment vertical="top" wrapText="1"/>
    </xf>
    <xf numFmtId="0" fontId="19" fillId="0" borderId="0" xfId="0" applyFont="1" applyAlignment="1">
      <alignment wrapText="1"/>
    </xf>
    <xf numFmtId="0" fontId="26" fillId="0" borderId="0" xfId="0" applyFont="1" applyAlignment="1">
      <alignment horizontal="right"/>
    </xf>
    <xf numFmtId="0" fontId="26" fillId="0" borderId="0" xfId="0" applyFont="1" applyAlignment="1">
      <alignment horizontal="left"/>
    </xf>
    <xf numFmtId="2" fontId="6" fillId="7" borderId="10" xfId="7" applyNumberFormat="1"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left" vertical="top" wrapText="1"/>
    </xf>
    <xf numFmtId="0" fontId="20" fillId="0" borderId="0" xfId="0" applyFont="1" applyAlignment="1">
      <alignment horizontal="right" vertical="top" wrapText="1"/>
    </xf>
    <xf numFmtId="0" fontId="20" fillId="0" borderId="0" xfId="0" applyFont="1" applyAlignment="1">
      <alignment horizontal="right"/>
    </xf>
    <xf numFmtId="0" fontId="0" fillId="7" borderId="0" xfId="0" applyFill="1"/>
    <xf numFmtId="0" fontId="24" fillId="0" borderId="9" xfId="0" applyFont="1" applyBorder="1"/>
    <xf numFmtId="0" fontId="2" fillId="7" borderId="0" xfId="0" applyFont="1" applyFill="1"/>
    <xf numFmtId="0" fontId="0" fillId="7" borderId="0" xfId="0" applyFill="1" applyAlignment="1">
      <alignment horizontal="center"/>
    </xf>
    <xf numFmtId="0" fontId="25" fillId="15" borderId="10" xfId="0" applyFont="1" applyFill="1" applyBorder="1" applyAlignment="1">
      <alignment horizontal="center" vertical="center"/>
    </xf>
    <xf numFmtId="0" fontId="0" fillId="0" borderId="0" xfId="0" applyAlignment="1">
      <alignment horizontal="center" vertical="center" wrapText="1"/>
    </xf>
    <xf numFmtId="165" fontId="5" fillId="7" borderId="0" xfId="0" applyNumberFormat="1"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0" fillId="0" borderId="0" xfId="0" applyAlignment="1">
      <alignment horizontal="center" wrapText="1"/>
    </xf>
    <xf numFmtId="0" fontId="5" fillId="0" borderId="0" xfId="0" applyFont="1" applyAlignment="1">
      <alignment horizontal="left" vertical="center" wrapText="1"/>
    </xf>
    <xf numFmtId="0" fontId="22" fillId="0" borderId="0" xfId="0" applyFont="1" applyAlignment="1">
      <alignment vertical="center"/>
    </xf>
    <xf numFmtId="1" fontId="6" fillId="0" borderId="0" xfId="0" applyNumberFormat="1" applyFont="1"/>
    <xf numFmtId="0" fontId="0" fillId="16" borderId="0" xfId="0" applyFill="1"/>
    <xf numFmtId="2" fontId="0" fillId="0" borderId="0" xfId="0" applyNumberFormat="1"/>
    <xf numFmtId="0" fontId="9" fillId="0" borderId="0" xfId="0" applyFont="1" applyAlignment="1">
      <alignment horizontal="center" vertical="center"/>
    </xf>
    <xf numFmtId="0" fontId="29" fillId="0" borderId="0" xfId="0" applyFont="1" applyAlignment="1">
      <alignment horizontal="left"/>
    </xf>
    <xf numFmtId="0" fontId="29" fillId="0" borderId="0" xfId="0" applyFont="1" applyAlignment="1">
      <alignment horizontal="center"/>
    </xf>
    <xf numFmtId="0" fontId="13" fillId="0" borderId="0" xfId="0" applyFont="1" applyAlignment="1">
      <alignment vertical="center"/>
    </xf>
    <xf numFmtId="0" fontId="13" fillId="0" borderId="0" xfId="0" applyFont="1" applyAlignment="1">
      <alignment horizontal="center" vertical="center"/>
    </xf>
    <xf numFmtId="0" fontId="10" fillId="17" borderId="10" xfId="0" applyFont="1" applyFill="1" applyBorder="1" applyAlignment="1">
      <alignment horizontal="center" vertical="center" wrapText="1"/>
    </xf>
    <xf numFmtId="0" fontId="24" fillId="18" borderId="10" xfId="0" applyFont="1" applyFill="1" applyBorder="1" applyAlignment="1">
      <alignment horizontal="center" vertical="center" wrapText="1"/>
    </xf>
    <xf numFmtId="0" fontId="24" fillId="0" borderId="11" xfId="0" applyFont="1" applyBorder="1" applyAlignment="1">
      <alignment horizontal="center" vertical="center"/>
    </xf>
    <xf numFmtId="0" fontId="24" fillId="0" borderId="11" xfId="0" applyFont="1" applyBorder="1" applyAlignment="1">
      <alignment horizontal="center" vertical="center" wrapText="1"/>
    </xf>
    <xf numFmtId="0" fontId="13" fillId="0" borderId="0" xfId="0" applyFont="1"/>
    <xf numFmtId="0" fontId="13" fillId="0" borderId="0" xfId="0" applyFont="1" applyAlignment="1">
      <alignment horizontal="center"/>
    </xf>
    <xf numFmtId="0" fontId="6" fillId="0" borderId="10" xfId="0" applyFont="1" applyBorder="1" applyAlignment="1">
      <alignment horizontal="center" vertical="center"/>
    </xf>
    <xf numFmtId="0" fontId="5" fillId="0" borderId="10" xfId="0" applyFont="1" applyBorder="1" applyAlignment="1">
      <alignment horizontal="center" vertical="center" wrapText="1"/>
    </xf>
    <xf numFmtId="0" fontId="6" fillId="7" borderId="10" xfId="0" applyFont="1" applyFill="1" applyBorder="1" applyAlignment="1">
      <alignment horizontal="center" vertical="center" wrapText="1"/>
    </xf>
    <xf numFmtId="0" fontId="13" fillId="0" borderId="10" xfId="0" applyFont="1" applyBorder="1" applyAlignment="1">
      <alignment horizontal="center" vertical="center" wrapText="1"/>
    </xf>
    <xf numFmtId="0" fontId="13" fillId="0" borderId="10" xfId="0" applyFont="1" applyBorder="1" applyAlignment="1">
      <alignment horizontal="center" vertical="center"/>
    </xf>
    <xf numFmtId="0" fontId="23" fillId="5" borderId="10" xfId="0" applyFont="1" applyFill="1" applyBorder="1" applyAlignment="1">
      <alignment horizontal="center" vertical="center"/>
    </xf>
    <xf numFmtId="0" fontId="13" fillId="2" borderId="10" xfId="0" applyFont="1" applyFill="1" applyBorder="1" applyAlignment="1">
      <alignment horizontal="center" vertical="center" wrapText="1"/>
    </xf>
    <xf numFmtId="0" fontId="0" fillId="0" borderId="0" xfId="0" applyAlignment="1">
      <alignment vertical="center" wrapText="1"/>
    </xf>
    <xf numFmtId="2" fontId="6" fillId="7" borderId="10"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15" fillId="0" borderId="0" xfId="0" applyFont="1" applyAlignment="1">
      <alignment horizontal="left" vertical="center"/>
    </xf>
    <xf numFmtId="0" fontId="7" fillId="17" borderId="10" xfId="0" applyFont="1" applyFill="1" applyBorder="1" applyAlignment="1">
      <alignment horizontal="center" vertical="center" wrapText="1"/>
    </xf>
    <xf numFmtId="9" fontId="7" fillId="17" borderId="10" xfId="0" applyNumberFormat="1" applyFont="1" applyFill="1" applyBorder="1" applyAlignment="1">
      <alignment horizontal="center" vertical="center" wrapText="1"/>
    </xf>
    <xf numFmtId="0" fontId="30" fillId="0" borderId="10" xfId="0" applyFont="1"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vertical="center"/>
    </xf>
    <xf numFmtId="1" fontId="6" fillId="7" borderId="10" xfId="0" applyNumberFormat="1" applyFont="1" applyFill="1" applyBorder="1" applyAlignment="1">
      <alignment horizontal="center" vertical="center" wrapText="1"/>
    </xf>
    <xf numFmtId="2" fontId="6" fillId="0" borderId="10" xfId="0" applyNumberFormat="1" applyFont="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10" fillId="19" borderId="10" xfId="0" applyFont="1" applyFill="1" applyBorder="1" applyAlignment="1">
      <alignment horizontal="center" vertical="center" wrapText="1"/>
    </xf>
    <xf numFmtId="0" fontId="0" fillId="0" borderId="0" xfId="0" quotePrefix="1" applyAlignment="1">
      <alignment horizontal="center" vertical="center"/>
    </xf>
    <xf numFmtId="0" fontId="6" fillId="0" borderId="10" xfId="2" applyFont="1" applyBorder="1" applyAlignment="1">
      <alignment horizontal="center" vertical="center"/>
    </xf>
    <xf numFmtId="0" fontId="7" fillId="18" borderId="17" xfId="1" applyFont="1" applyFill="1" applyBorder="1" applyAlignment="1">
      <alignment horizontal="center" vertical="center" wrapText="1"/>
    </xf>
    <xf numFmtId="0" fontId="6" fillId="0" borderId="17" xfId="0" applyFont="1" applyBorder="1" applyAlignment="1">
      <alignment vertical="center"/>
    </xf>
    <xf numFmtId="0" fontId="6" fillId="0" borderId="17" xfId="2" applyFont="1" applyBorder="1" applyAlignment="1">
      <alignment horizontal="center" vertical="center"/>
    </xf>
    <xf numFmtId="9" fontId="6" fillId="0" borderId="17" xfId="2" applyNumberFormat="1" applyFont="1" applyBorder="1" applyAlignment="1">
      <alignment horizontal="center" vertical="center"/>
    </xf>
    <xf numFmtId="9" fontId="6" fillId="0" borderId="17" xfId="3" applyFont="1" applyBorder="1" applyAlignment="1">
      <alignment horizontal="center" vertical="center"/>
    </xf>
    <xf numFmtId="0" fontId="7" fillId="19" borderId="10" xfId="1" applyFont="1" applyFill="1" applyBorder="1" applyAlignment="1">
      <alignment horizontal="center" vertical="center" wrapText="1"/>
    </xf>
    <xf numFmtId="0" fontId="22" fillId="8" borderId="10" xfId="1" applyFont="1" applyFill="1" applyBorder="1" applyAlignment="1">
      <alignment horizontal="center" vertical="center" wrapText="1"/>
    </xf>
    <xf numFmtId="0" fontId="22" fillId="11" borderId="10" xfId="1" applyFont="1" applyFill="1" applyBorder="1" applyAlignment="1">
      <alignment horizontal="center" vertical="center" wrapText="1"/>
    </xf>
    <xf numFmtId="0" fontId="6" fillId="0" borderId="10" xfId="0" applyFont="1" applyBorder="1" applyAlignment="1">
      <alignment horizontal="justify" vertical="center" wrapText="1"/>
    </xf>
    <xf numFmtId="0" fontId="5" fillId="0" borderId="10" xfId="0" applyFont="1" applyBorder="1" applyAlignment="1" applyProtection="1">
      <alignment horizontal="justify" vertical="center" wrapText="1"/>
      <protection locked="0"/>
    </xf>
    <xf numFmtId="0" fontId="5" fillId="0" borderId="10" xfId="0" applyFont="1" applyBorder="1" applyAlignment="1" applyProtection="1">
      <alignment horizontal="center" vertical="center" wrapText="1"/>
      <protection locked="0"/>
    </xf>
    <xf numFmtId="0" fontId="5" fillId="7" borderId="10" xfId="0" applyFont="1" applyFill="1" applyBorder="1" applyAlignment="1" applyProtection="1">
      <alignment horizontal="center" vertical="center" wrapText="1"/>
      <protection locked="0"/>
    </xf>
    <xf numFmtId="0" fontId="5" fillId="7" borderId="10" xfId="0" applyFont="1" applyFill="1" applyBorder="1" applyAlignment="1" applyProtection="1">
      <alignment horizontal="justify" vertical="center" wrapText="1"/>
      <protection locked="0"/>
    </xf>
    <xf numFmtId="0" fontId="5" fillId="0" borderId="10" xfId="1" applyFont="1" applyBorder="1" applyAlignment="1">
      <alignment horizontal="center" vertical="center" wrapText="1"/>
    </xf>
    <xf numFmtId="1" fontId="4" fillId="12" borderId="10" xfId="1" applyNumberFormat="1" applyFont="1" applyFill="1" applyBorder="1" applyAlignment="1">
      <alignment horizontal="center" vertical="center"/>
    </xf>
    <xf numFmtId="0" fontId="5" fillId="0" borderId="10" xfId="1" applyFont="1" applyBorder="1" applyAlignment="1">
      <alignment horizontal="center" vertical="center"/>
    </xf>
    <xf numFmtId="0" fontId="4" fillId="12" borderId="10" xfId="1" applyFont="1" applyFill="1" applyBorder="1" applyAlignment="1">
      <alignment horizontal="center" vertical="center" wrapText="1"/>
    </xf>
    <xf numFmtId="0" fontId="4" fillId="0" borderId="10" xfId="1" applyFont="1" applyBorder="1" applyAlignment="1">
      <alignment horizontal="center" vertical="center"/>
    </xf>
    <xf numFmtId="1" fontId="4" fillId="0" borderId="10" xfId="1" applyNumberFormat="1" applyFont="1" applyBorder="1" applyAlignment="1">
      <alignment horizontal="center" vertical="center"/>
    </xf>
    <xf numFmtId="0" fontId="6" fillId="5" borderId="10" xfId="2" applyFont="1" applyFill="1" applyBorder="1" applyAlignment="1">
      <alignment horizontal="center" vertical="center"/>
    </xf>
    <xf numFmtId="0" fontId="6" fillId="4" borderId="10" xfId="2" applyFont="1" applyFill="1" applyBorder="1" applyAlignment="1">
      <alignment horizontal="center" vertical="center"/>
    </xf>
    <xf numFmtId="0" fontId="6" fillId="14" borderId="10" xfId="2" applyFont="1" applyFill="1" applyBorder="1" applyAlignment="1">
      <alignment horizontal="center" vertical="center"/>
    </xf>
    <xf numFmtId="0" fontId="6" fillId="13" borderId="10" xfId="2" applyFont="1" applyFill="1" applyBorder="1" applyAlignment="1">
      <alignment horizontal="center" vertical="center"/>
    </xf>
    <xf numFmtId="0" fontId="10" fillId="17" borderId="10" xfId="0" applyFont="1" applyFill="1" applyBorder="1" applyAlignment="1" applyProtection="1">
      <alignment horizontal="center" vertical="center" wrapText="1"/>
      <protection locked="0"/>
    </xf>
    <xf numFmtId="1" fontId="5" fillId="7" borderId="10" xfId="0" applyNumberFormat="1" applyFont="1" applyFill="1" applyBorder="1" applyAlignment="1">
      <alignment horizontal="center" vertical="center" wrapText="1"/>
    </xf>
    <xf numFmtId="1" fontId="22" fillId="10" borderId="10" xfId="1" applyNumberFormat="1" applyFont="1" applyFill="1" applyBorder="1" applyAlignment="1">
      <alignment horizontal="center" vertical="center" wrapText="1"/>
    </xf>
    <xf numFmtId="0" fontId="23" fillId="0" borderId="10" xfId="0" applyFont="1" applyBorder="1" applyAlignment="1">
      <alignment horizontal="center" vertical="center" wrapText="1"/>
    </xf>
    <xf numFmtId="0" fontId="10" fillId="19" borderId="10" xfId="0" applyFont="1" applyFill="1" applyBorder="1" applyAlignment="1">
      <alignment vertical="center" wrapText="1"/>
    </xf>
    <xf numFmtId="0" fontId="10" fillId="19" borderId="10" xfId="0" applyFont="1" applyFill="1" applyBorder="1" applyAlignment="1">
      <alignment vertical="center" textRotation="90" wrapText="1"/>
    </xf>
    <xf numFmtId="2" fontId="0" fillId="0" borderId="0" xfId="0" applyNumberFormat="1" applyAlignment="1">
      <alignment horizontal="center" vertical="center"/>
    </xf>
    <xf numFmtId="0" fontId="7" fillId="18" borderId="23" xfId="1" applyFont="1" applyFill="1" applyBorder="1" applyAlignment="1">
      <alignment horizontal="center" vertical="center" wrapText="1"/>
    </xf>
    <xf numFmtId="9" fontId="6" fillId="0" borderId="10" xfId="0" applyNumberFormat="1" applyFont="1" applyBorder="1" applyAlignment="1">
      <alignment horizontal="center" vertical="center"/>
    </xf>
    <xf numFmtId="0" fontId="0" fillId="18" borderId="25" xfId="0" applyFill="1" applyBorder="1" applyAlignment="1">
      <alignment horizontal="center" vertical="center"/>
    </xf>
    <xf numFmtId="0" fontId="0" fillId="18" borderId="11" xfId="0" applyFill="1" applyBorder="1" applyAlignment="1">
      <alignment horizontal="center" vertical="center"/>
    </xf>
    <xf numFmtId="0" fontId="0" fillId="18" borderId="24" xfId="0" applyFill="1" applyBorder="1" applyAlignment="1">
      <alignment horizontal="center" vertical="center"/>
    </xf>
    <xf numFmtId="0" fontId="5" fillId="7" borderId="13" xfId="0" applyFont="1" applyFill="1" applyBorder="1" applyAlignment="1" applyProtection="1">
      <alignment horizontal="center" vertical="center" wrapText="1"/>
      <protection locked="0"/>
    </xf>
    <xf numFmtId="0" fontId="5" fillId="7" borderId="15" xfId="0" applyFont="1" applyFill="1" applyBorder="1" applyAlignment="1" applyProtection="1">
      <alignment horizontal="center" wrapText="1"/>
      <protection locked="0"/>
    </xf>
    <xf numFmtId="2" fontId="0" fillId="0" borderId="10" xfId="0" applyNumberFormat="1" applyBorder="1" applyAlignment="1">
      <alignment horizontal="center" vertical="center"/>
    </xf>
    <xf numFmtId="0" fontId="0" fillId="0" borderId="10" xfId="0" applyBorder="1" applyAlignment="1">
      <alignment vertical="center" wrapText="1"/>
    </xf>
    <xf numFmtId="1" fontId="0" fillId="0" borderId="10" xfId="0" applyNumberFormat="1" applyBorder="1" applyAlignment="1">
      <alignment horizontal="center" vertical="center" wrapText="1"/>
    </xf>
    <xf numFmtId="167" fontId="0" fillId="0" borderId="10" xfId="0" applyNumberFormat="1" applyBorder="1" applyAlignment="1">
      <alignment horizontal="center" vertical="center" wrapText="1"/>
    </xf>
    <xf numFmtId="0" fontId="23" fillId="5" borderId="13" xfId="0" applyFont="1" applyFill="1" applyBorder="1" applyAlignment="1">
      <alignment horizontal="center" vertical="center"/>
    </xf>
    <xf numFmtId="0" fontId="6" fillId="0" borderId="30" xfId="0" applyFont="1" applyBorder="1" applyAlignment="1">
      <alignment horizontal="center" vertical="top" wrapText="1"/>
    </xf>
    <xf numFmtId="0" fontId="6" fillId="7" borderId="31" xfId="0" applyFont="1" applyFill="1" applyBorder="1" applyAlignment="1">
      <alignment horizontal="center" vertical="center" wrapText="1"/>
    </xf>
    <xf numFmtId="0" fontId="0" fillId="7" borderId="0" xfId="0" applyFill="1" applyAlignment="1">
      <alignment horizontal="center" vertical="center" wrapText="1"/>
    </xf>
    <xf numFmtId="1" fontId="0" fillId="7" borderId="0" xfId="0" applyNumberFormat="1" applyFill="1" applyAlignment="1">
      <alignment horizontal="center" vertical="center" wrapText="1"/>
    </xf>
    <xf numFmtId="167" fontId="0" fillId="7" borderId="0" xfId="0" applyNumberFormat="1" applyFill="1" applyAlignment="1">
      <alignment horizontal="center" vertical="center" wrapText="1"/>
    </xf>
    <xf numFmtId="1" fontId="5" fillId="7" borderId="0" xfId="0" applyNumberFormat="1" applyFont="1" applyFill="1" applyAlignment="1">
      <alignment horizontal="center" vertical="center" wrapText="1"/>
    </xf>
    <xf numFmtId="1" fontId="22" fillId="7" borderId="0" xfId="1" applyNumberFormat="1" applyFont="1" applyFill="1" applyAlignment="1">
      <alignment horizontal="center" vertical="center" wrapText="1"/>
    </xf>
    <xf numFmtId="0" fontId="23" fillId="7" borderId="0" xfId="0" applyFont="1" applyFill="1" applyAlignment="1">
      <alignment horizontal="center" vertical="center" wrapText="1"/>
    </xf>
    <xf numFmtId="0" fontId="32" fillId="2" borderId="0" xfId="0" applyFont="1" applyFill="1" applyAlignment="1">
      <alignment horizontal="right"/>
    </xf>
    <xf numFmtId="0" fontId="32" fillId="2" borderId="0" xfId="0" applyFont="1" applyFill="1" applyAlignment="1">
      <alignment horizontal="left"/>
    </xf>
    <xf numFmtId="0" fontId="25" fillId="2" borderId="0" xfId="0" applyFont="1" applyFill="1"/>
    <xf numFmtId="0" fontId="6" fillId="7" borderId="0" xfId="0" applyFont="1" applyFill="1" applyAlignment="1">
      <alignment horizontal="center"/>
    </xf>
    <xf numFmtId="0" fontId="0" fillId="7" borderId="0" xfId="0" applyFill="1" applyAlignment="1">
      <alignment horizontal="left" vertical="center"/>
    </xf>
    <xf numFmtId="0" fontId="0" fillId="7" borderId="0" xfId="0" applyFill="1" applyAlignment="1">
      <alignment horizontal="left" vertical="center" wrapText="1"/>
    </xf>
    <xf numFmtId="0" fontId="6" fillId="0" borderId="29" xfId="0" applyFont="1" applyBorder="1" applyAlignment="1">
      <alignment horizontal="center" vertical="center" wrapText="1"/>
    </xf>
    <xf numFmtId="0" fontId="6" fillId="20" borderId="10" xfId="0" applyFont="1" applyFill="1" applyBorder="1" applyAlignment="1">
      <alignment horizontal="center" vertical="center" wrapText="1"/>
    </xf>
    <xf numFmtId="0" fontId="6" fillId="21" borderId="10" xfId="0" applyFont="1" applyFill="1" applyBorder="1" applyAlignment="1">
      <alignment horizontal="center" vertical="center"/>
    </xf>
    <xf numFmtId="0" fontId="6" fillId="3" borderId="10" xfId="0" applyFont="1" applyFill="1" applyBorder="1" applyAlignment="1">
      <alignment horizontal="center" vertical="center"/>
    </xf>
    <xf numFmtId="0" fontId="6" fillId="4" borderId="10" xfId="0" applyFont="1" applyFill="1" applyBorder="1" applyAlignment="1">
      <alignment horizontal="center" vertical="center"/>
    </xf>
    <xf numFmtId="0" fontId="6" fillId="5" borderId="10" xfId="0" applyFont="1" applyFill="1" applyBorder="1" applyAlignment="1">
      <alignment horizontal="center" vertical="center"/>
    </xf>
    <xf numFmtId="2" fontId="13" fillId="0" borderId="10" xfId="0" applyNumberFormat="1" applyFont="1" applyBorder="1" applyAlignment="1">
      <alignment horizontal="center" vertical="center"/>
    </xf>
    <xf numFmtId="0" fontId="6"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6" fillId="7" borderId="16" xfId="0" applyFont="1" applyFill="1" applyBorder="1" applyAlignment="1">
      <alignment horizontal="center" vertical="center"/>
    </xf>
    <xf numFmtId="0" fontId="5" fillId="7" borderId="16" xfId="0" applyFont="1" applyFill="1" applyBorder="1" applyAlignment="1">
      <alignment horizontal="center" vertical="center"/>
    </xf>
    <xf numFmtId="1" fontId="6" fillId="0" borderId="0" xfId="0" applyNumberFormat="1" applyFont="1" applyAlignment="1">
      <alignment horizontal="center"/>
    </xf>
    <xf numFmtId="0" fontId="34" fillId="0" borderId="0" xfId="0" applyFont="1" applyAlignment="1">
      <alignment horizontal="center" vertical="center"/>
    </xf>
    <xf numFmtId="0" fontId="10" fillId="5" borderId="10" xfId="0" applyFont="1" applyFill="1" applyBorder="1" applyAlignment="1">
      <alignment horizontal="center" vertical="center"/>
    </xf>
    <xf numFmtId="0" fontId="6" fillId="0" borderId="10" xfId="0" applyFont="1" applyBorder="1" applyAlignment="1">
      <alignment horizontal="center" vertical="center" wrapText="1"/>
    </xf>
    <xf numFmtId="0" fontId="0" fillId="0" borderId="10" xfId="0" applyBorder="1" applyAlignment="1">
      <alignment horizontal="center" vertical="center" wrapText="1"/>
    </xf>
    <xf numFmtId="0" fontId="10" fillId="17" borderId="10" xfId="0" applyFont="1" applyFill="1" applyBorder="1" applyAlignment="1">
      <alignment horizontal="center" vertical="center" wrapText="1"/>
    </xf>
    <xf numFmtId="0" fontId="33" fillId="6" borderId="10" xfId="0" applyFont="1" applyFill="1" applyBorder="1" applyAlignment="1">
      <alignment horizontal="center" vertical="center"/>
    </xf>
    <xf numFmtId="0" fontId="33" fillId="3" borderId="10" xfId="0" applyFont="1" applyFill="1" applyBorder="1" applyAlignment="1">
      <alignment horizontal="center" vertical="center"/>
    </xf>
    <xf numFmtId="0" fontId="31" fillId="17" borderId="10" xfId="0" applyFont="1" applyFill="1" applyBorder="1" applyAlignment="1">
      <alignment horizontal="center" vertical="center" wrapText="1"/>
    </xf>
    <xf numFmtId="0" fontId="7" fillId="17" borderId="10" xfId="0" applyFont="1" applyFill="1" applyBorder="1" applyAlignment="1">
      <alignment horizontal="center" vertical="center" wrapText="1"/>
    </xf>
    <xf numFmtId="0" fontId="7" fillId="17" borderId="16"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33" fillId="4" borderId="10" xfId="0" applyFont="1" applyFill="1" applyBorder="1" applyAlignment="1">
      <alignment horizontal="center" vertical="center"/>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2" xfId="0" applyBorder="1" applyAlignment="1">
      <alignment horizontal="center" vertical="center" wrapText="1"/>
    </xf>
    <xf numFmtId="0" fontId="7" fillId="17" borderId="13" xfId="0" applyFont="1" applyFill="1" applyBorder="1" applyAlignment="1">
      <alignment horizontal="center" vertical="center" wrapText="1"/>
    </xf>
    <xf numFmtId="0" fontId="7" fillId="17" borderId="14" xfId="0" applyFont="1" applyFill="1" applyBorder="1" applyAlignment="1">
      <alignment horizontal="center" vertical="center" wrapText="1"/>
    </xf>
    <xf numFmtId="0" fontId="7" fillId="17" borderId="15" xfId="0" applyFont="1" applyFill="1" applyBorder="1" applyAlignment="1">
      <alignment horizontal="center" vertical="center" wrapText="1"/>
    </xf>
    <xf numFmtId="0" fontId="7" fillId="17" borderId="13" xfId="0" applyFont="1" applyFill="1" applyBorder="1" applyAlignment="1">
      <alignment horizontal="center" vertical="center"/>
    </xf>
    <xf numFmtId="0" fontId="7" fillId="17" borderId="14" xfId="0" applyFont="1" applyFill="1" applyBorder="1" applyAlignment="1">
      <alignment horizontal="center" vertical="center"/>
    </xf>
    <xf numFmtId="0" fontId="7" fillId="17" borderId="15" xfId="0" applyFont="1" applyFill="1" applyBorder="1" applyAlignment="1">
      <alignment horizontal="center" vertical="center"/>
    </xf>
    <xf numFmtId="0" fontId="12" fillId="7" borderId="0" xfId="0" applyFont="1" applyFill="1" applyAlignment="1">
      <alignment horizontal="center" vertical="center"/>
    </xf>
    <xf numFmtId="0" fontId="10" fillId="19" borderId="10" xfId="0" applyFont="1" applyFill="1" applyBorder="1" applyAlignment="1">
      <alignment horizontal="center" vertical="center" wrapText="1"/>
    </xf>
    <xf numFmtId="0" fontId="10" fillId="19" borderId="10" xfId="0" applyFont="1" applyFill="1" applyBorder="1" applyAlignment="1">
      <alignment horizontal="center" vertical="center" textRotation="90" wrapText="1"/>
    </xf>
    <xf numFmtId="0" fontId="11" fillId="18" borderId="13" xfId="0" applyFont="1" applyFill="1" applyBorder="1" applyAlignment="1">
      <alignment horizontal="center" vertical="center"/>
    </xf>
    <xf numFmtId="0" fontId="11" fillId="18" borderId="14" xfId="0" applyFont="1" applyFill="1" applyBorder="1" applyAlignment="1">
      <alignment horizontal="center" vertical="center"/>
    </xf>
    <xf numFmtId="0" fontId="11" fillId="18" borderId="10" xfId="0" applyFont="1" applyFill="1" applyBorder="1" applyAlignment="1">
      <alignment horizontal="center" vertical="center"/>
    </xf>
    <xf numFmtId="0" fontId="11" fillId="18" borderId="0" xfId="0" applyFont="1" applyFill="1" applyAlignment="1">
      <alignment horizontal="center" vertical="center" wrapText="1"/>
    </xf>
    <xf numFmtId="0" fontId="10" fillId="19" borderId="13" xfId="0" applyFont="1" applyFill="1" applyBorder="1" applyAlignment="1">
      <alignment horizontal="center" vertical="center" wrapText="1"/>
    </xf>
    <xf numFmtId="0" fontId="28" fillId="0" borderId="0" xfId="0" applyFont="1" applyAlignment="1">
      <alignment horizontal="center"/>
    </xf>
    <xf numFmtId="0" fontId="5" fillId="0" borderId="15" xfId="0" applyFont="1" applyBorder="1" applyAlignment="1">
      <alignment horizontal="center" vertical="center" wrapText="1"/>
    </xf>
    <xf numFmtId="1" fontId="4" fillId="0" borderId="10" xfId="1" applyNumberFormat="1" applyFont="1" applyBorder="1" applyAlignment="1">
      <alignment horizontal="center" vertical="center"/>
    </xf>
    <xf numFmtId="0" fontId="4" fillId="0" borderId="10" xfId="1" applyFont="1" applyBorder="1" applyAlignment="1">
      <alignment horizontal="center" vertical="center"/>
    </xf>
    <xf numFmtId="1" fontId="4" fillId="0" borderId="16" xfId="1" applyNumberFormat="1" applyFont="1" applyBorder="1" applyAlignment="1">
      <alignment horizontal="center" vertical="center"/>
    </xf>
    <xf numFmtId="1" fontId="4" fillId="0" borderId="11" xfId="1" applyNumberFormat="1" applyFont="1" applyBorder="1" applyAlignment="1">
      <alignment horizontal="center" vertical="center"/>
    </xf>
    <xf numFmtId="0" fontId="4" fillId="0" borderId="16" xfId="1" applyFont="1" applyBorder="1" applyAlignment="1">
      <alignment horizontal="center" vertical="center"/>
    </xf>
    <xf numFmtId="0" fontId="4" fillId="0" borderId="11" xfId="1" applyFont="1" applyBorder="1" applyAlignment="1">
      <alignment horizontal="center" vertical="center"/>
    </xf>
    <xf numFmtId="0" fontId="7" fillId="19" borderId="10" xfId="1" applyFont="1" applyFill="1" applyBorder="1" applyAlignment="1">
      <alignment horizontal="center" vertical="center" wrapText="1"/>
    </xf>
    <xf numFmtId="0" fontId="7" fillId="18" borderId="10" xfId="1" applyFont="1" applyFill="1" applyBorder="1" applyAlignment="1">
      <alignment horizontal="center" vertical="center" wrapText="1"/>
    </xf>
    <xf numFmtId="0" fontId="7" fillId="19" borderId="10" xfId="0" applyFont="1" applyFill="1" applyBorder="1" applyAlignment="1">
      <alignment horizontal="center" vertical="center" wrapText="1"/>
    </xf>
    <xf numFmtId="0" fontId="7" fillId="19" borderId="10" xfId="0" applyFont="1" applyFill="1" applyBorder="1" applyAlignment="1" applyProtection="1">
      <alignment horizontal="center" vertical="center" wrapText="1"/>
      <protection locked="0"/>
    </xf>
    <xf numFmtId="0" fontId="7" fillId="18" borderId="10" xfId="0" applyFont="1" applyFill="1" applyBorder="1" applyAlignment="1">
      <alignment horizontal="center" vertical="center" wrapText="1"/>
    </xf>
    <xf numFmtId="0" fontId="7" fillId="19" borderId="16" xfId="0" applyFont="1" applyFill="1" applyBorder="1" applyAlignment="1">
      <alignment horizontal="center" vertical="center" wrapText="1"/>
    </xf>
    <xf numFmtId="0" fontId="7" fillId="19" borderId="16" xfId="0" applyFont="1" applyFill="1" applyBorder="1" applyAlignment="1" applyProtection="1">
      <alignment horizontal="center" vertical="center" wrapText="1"/>
      <protection locked="0"/>
    </xf>
    <xf numFmtId="0" fontId="7" fillId="18" borderId="17" xfId="1" applyFont="1" applyFill="1" applyBorder="1" applyAlignment="1">
      <alignment horizontal="center" vertical="center" wrapText="1"/>
    </xf>
    <xf numFmtId="0" fontId="7" fillId="18" borderId="19" xfId="1" applyFont="1" applyFill="1" applyBorder="1" applyAlignment="1">
      <alignment horizontal="center" vertical="center" wrapText="1"/>
    </xf>
    <xf numFmtId="0" fontId="7" fillId="18" borderId="20" xfId="1" applyFont="1" applyFill="1" applyBorder="1" applyAlignment="1">
      <alignment horizontal="center" vertical="center" wrapText="1"/>
    </xf>
    <xf numFmtId="0" fontId="7" fillId="18" borderId="18" xfId="1" applyFont="1" applyFill="1" applyBorder="1" applyAlignment="1">
      <alignment horizontal="center" vertical="center" wrapText="1"/>
    </xf>
    <xf numFmtId="0" fontId="7" fillId="18" borderId="21" xfId="1" applyFont="1" applyFill="1" applyBorder="1" applyAlignment="1">
      <alignment horizontal="center" vertical="center" wrapText="1"/>
    </xf>
    <xf numFmtId="0" fontId="6" fillId="7" borderId="10" xfId="0" applyFont="1" applyFill="1" applyBorder="1" applyAlignment="1">
      <alignment horizontal="center" vertical="center"/>
    </xf>
    <xf numFmtId="0" fontId="6" fillId="7" borderId="16" xfId="0" applyFont="1" applyFill="1" applyBorder="1" applyAlignment="1">
      <alignment horizontal="center" vertical="center"/>
    </xf>
    <xf numFmtId="0" fontId="6" fillId="7" borderId="22" xfId="0" applyFont="1" applyFill="1" applyBorder="1" applyAlignment="1">
      <alignment horizontal="center" vertical="center"/>
    </xf>
    <xf numFmtId="0" fontId="6" fillId="7" borderId="11" xfId="0" applyFont="1" applyFill="1" applyBorder="1" applyAlignment="1">
      <alignment horizontal="center" vertical="center"/>
    </xf>
    <xf numFmtId="0" fontId="21" fillId="19" borderId="16" xfId="1" applyFont="1" applyFill="1" applyBorder="1" applyAlignment="1">
      <alignment horizontal="center" vertical="center" wrapText="1"/>
    </xf>
    <xf numFmtId="0" fontId="21" fillId="19" borderId="11" xfId="1" applyFont="1" applyFill="1" applyBorder="1" applyAlignment="1">
      <alignment horizontal="center" vertical="center" wrapText="1"/>
    </xf>
    <xf numFmtId="0" fontId="21" fillId="19" borderId="10" xfId="1" applyFont="1" applyFill="1" applyBorder="1" applyAlignment="1">
      <alignment horizontal="center" vertical="center" wrapText="1"/>
    </xf>
    <xf numFmtId="0" fontId="21" fillId="19" borderId="10" xfId="0" applyFont="1" applyFill="1" applyBorder="1" applyAlignment="1">
      <alignment horizontal="center" vertical="center" wrapText="1"/>
    </xf>
    <xf numFmtId="0" fontId="21" fillId="19" borderId="16" xfId="0" applyFont="1" applyFill="1" applyBorder="1" applyAlignment="1">
      <alignment horizontal="center" vertical="center" wrapText="1"/>
    </xf>
    <xf numFmtId="0" fontId="21" fillId="19" borderId="22" xfId="0" applyFont="1" applyFill="1" applyBorder="1" applyAlignment="1">
      <alignment horizontal="center" vertical="center" wrapText="1"/>
    </xf>
    <xf numFmtId="0" fontId="21" fillId="19" borderId="11" xfId="0" applyFont="1" applyFill="1" applyBorder="1" applyAlignment="1">
      <alignment horizontal="center" vertical="center" wrapText="1"/>
    </xf>
    <xf numFmtId="0" fontId="21" fillId="19" borderId="28" xfId="1" applyFont="1" applyFill="1" applyBorder="1" applyAlignment="1">
      <alignment horizontal="center" vertical="center" wrapText="1"/>
    </xf>
    <xf numFmtId="0" fontId="21" fillId="19" borderId="12" xfId="1" applyFont="1" applyFill="1" applyBorder="1" applyAlignment="1">
      <alignment horizontal="center" vertical="center" wrapText="1"/>
    </xf>
    <xf numFmtId="0" fontId="21" fillId="19" borderId="26" xfId="1" applyFont="1" applyFill="1" applyBorder="1" applyAlignment="1">
      <alignment horizontal="center" vertical="center" wrapText="1"/>
    </xf>
    <xf numFmtId="0" fontId="21" fillId="19" borderId="24" xfId="1" applyFont="1" applyFill="1" applyBorder="1" applyAlignment="1">
      <alignment horizontal="center" vertical="center" wrapText="1"/>
    </xf>
    <xf numFmtId="0" fontId="21" fillId="19" borderId="27" xfId="1" applyFont="1" applyFill="1" applyBorder="1" applyAlignment="1">
      <alignment horizontal="center" vertical="center" wrapText="1"/>
    </xf>
    <xf numFmtId="0" fontId="21" fillId="19" borderId="25" xfId="1" applyFont="1" applyFill="1" applyBorder="1" applyAlignment="1">
      <alignment horizontal="center" vertical="center" wrapText="1"/>
    </xf>
    <xf numFmtId="0" fontId="17" fillId="0" borderId="0" xfId="0" applyFont="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lignment horizontal="center"/>
    </xf>
    <xf numFmtId="0" fontId="0" fillId="0" borderId="6" xfId="0" applyBorder="1" applyAlignment="1">
      <alignment horizontal="center"/>
    </xf>
  </cellXfs>
  <cellStyles count="8">
    <cellStyle name="Millares" xfId="7" builtinId="3"/>
    <cellStyle name="Millares 3" xfId="4"/>
    <cellStyle name="Normal" xfId="0" builtinId="0"/>
    <cellStyle name="Normal 2" xfId="1"/>
    <cellStyle name="Normal 2 2" xfId="2"/>
    <cellStyle name="Normal 3" xfId="5"/>
    <cellStyle name="Normal 9" xfId="6"/>
    <cellStyle name="Porcentual 3" xfId="3"/>
  </cellStyles>
  <dxfs count="258">
    <dxf>
      <font>
        <color theme="0"/>
      </font>
    </dxf>
    <dxf>
      <font>
        <color theme="0"/>
      </font>
    </dxf>
    <dxf>
      <font>
        <color theme="0"/>
      </font>
    </dxf>
    <dxf>
      <font>
        <color theme="0"/>
      </font>
    </dxf>
    <dxf>
      <font>
        <color theme="0"/>
      </font>
    </dxf>
    <dxf>
      <font>
        <color theme="0"/>
      </font>
    </dxf>
    <dxf>
      <numFmt numFmtId="2" formatCode="0.00"/>
    </dxf>
    <dxf>
      <numFmt numFmtId="0" formatCode="General"/>
      <alignment horizontal="general" vertical="center" textRotation="0" wrapText="1"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numFmt numFmtId="2" formatCode="0.00"/>
      <fill>
        <patternFill patternType="none">
          <fgColor indexed="64"/>
          <bgColor auto="1"/>
        </patternFill>
      </fill>
      <alignment horizontal="center" vertical="center" textRotation="0" wrapText="0"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numFmt numFmtId="2" formatCode="0.00"/>
      <fill>
        <patternFill patternType="none">
          <fgColor indexed="64"/>
          <bgColor auto="1"/>
        </patternFill>
      </fill>
      <alignment horizontal="center" vertical="center" textRotation="0" wrapText="0"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outline="0">
        <bottom style="thin">
          <color theme="0" tint="-0.24994659260841701"/>
        </bottom>
      </border>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numFmt numFmtId="2" formatCode="0.00"/>
      <fill>
        <patternFill patternType="none">
          <fgColor indexed="64"/>
          <bgColor auto="1"/>
        </patternFill>
      </fill>
      <alignment vertical="center" textRotation="0" indent="0" justifyLastLine="0" shrinkToFit="0" readingOrder="0"/>
    </dxf>
    <dxf>
      <numFmt numFmtId="2" formatCode="0.00"/>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vertical="center" textRotation="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bgColor rgb="FFFFC000"/>
        </patternFill>
      </fill>
    </dxf>
    <dxf>
      <fill>
        <patternFill>
          <bgColor rgb="FFFF0000"/>
        </patternFill>
      </fill>
    </dxf>
    <dxf>
      <fill>
        <patternFill>
          <bgColor rgb="FFFFFF00"/>
        </patternFill>
      </fill>
    </dxf>
    <dxf>
      <fill>
        <patternFill>
          <bgColor rgb="FF009900"/>
        </patternFill>
      </fill>
    </dxf>
    <dxf>
      <numFmt numFmtId="2" formatCode="0.00"/>
      <alignment horizontal="center" vertical="center" textRotation="0" wrapText="0" indent="0" justifyLastLine="0" shrinkToFit="0" readingOrder="0"/>
    </dxf>
    <dxf>
      <numFmt numFmtId="2" formatCode="0.0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solid">
          <fgColor indexed="64"/>
          <bgColor theme="4" tint="-0.249977111117893"/>
        </patternFill>
      </fill>
      <alignment horizontal="center" vertical="center" textRotation="0" wrapText="0" indent="0" justifyLastLine="0" shrinkToFit="0" readingOrder="0"/>
    </dxf>
    <dxf>
      <fill>
        <patternFill>
          <bgColor rgb="FFFFC000"/>
        </patternFill>
      </fill>
    </dxf>
    <dxf>
      <fill>
        <patternFill>
          <bgColor rgb="FFFF0000"/>
        </patternFill>
      </fill>
    </dxf>
    <dxf>
      <fill>
        <patternFill>
          <bgColor rgb="FFFFFF00"/>
        </patternFill>
      </fill>
    </dxf>
    <dxf>
      <fill>
        <patternFill>
          <bgColor rgb="FF009900"/>
        </patternFill>
      </fill>
    </dxf>
    <dxf>
      <font>
        <color theme="1"/>
      </font>
      <fill>
        <patternFill>
          <bgColor rgb="FF00FF00"/>
        </patternFill>
      </fill>
    </dxf>
    <dxf>
      <fill>
        <patternFill>
          <bgColor indexed="10"/>
        </patternFill>
      </fill>
    </dxf>
    <dxf>
      <font>
        <color theme="0"/>
      </font>
      <border>
        <left/>
        <right/>
        <top/>
        <bottom/>
        <vertical/>
        <horizontal/>
      </border>
    </dxf>
    <dxf>
      <fill>
        <patternFill>
          <bgColor rgb="FFFFC000"/>
        </patternFill>
      </fill>
    </dxf>
    <dxf>
      <fill>
        <patternFill>
          <bgColor rgb="FFFF0000"/>
        </patternFill>
      </fill>
    </dxf>
    <dxf>
      <fill>
        <patternFill>
          <bgColor rgb="FFFFFF00"/>
        </patternFill>
      </fill>
    </dxf>
    <dxf>
      <fill>
        <patternFill>
          <bgColor rgb="FF009900"/>
        </patternFill>
      </fill>
    </dxf>
    <dxf>
      <font>
        <color theme="1"/>
      </font>
      <fill>
        <patternFill>
          <bgColor rgb="FF00FF00"/>
        </patternFill>
      </fill>
    </dxf>
    <dxf>
      <fill>
        <patternFill>
          <bgColor indexed="1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font>
        <strike/>
      </font>
      <fill>
        <patternFill>
          <bgColor rgb="FFFF0000"/>
        </patternFill>
      </fill>
    </dxf>
    <dxf>
      <numFmt numFmtId="2" formatCode="0.00"/>
    </dxf>
    <dxf>
      <numFmt numFmtId="0" formatCode="General"/>
      <alignment horizontal="general" vertical="center" textRotation="0" wrapText="1"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numFmt numFmtId="2" formatCode="0.00"/>
    </dxf>
    <dxf>
      <numFmt numFmtId="2" formatCode="0.00"/>
    </dxf>
    <dxf>
      <alignment horizontal="general" vertical="center" textRotation="0" wrapText="1" indent="0" justifyLastLine="0" shrinkToFit="0" readingOrder="0"/>
    </dxf>
    <dxf>
      <border outline="0">
        <top style="thin">
          <color theme="0" tint="-0.24994659260841701"/>
        </top>
      </border>
    </dxf>
    <dxf>
      <border outline="0">
        <bottom style="thin">
          <color theme="0" tint="-0.24994659260841701"/>
        </bottom>
      </border>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numFmt numFmtId="2" formatCode="0.00"/>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alignment horizontal="general" vertical="center" textRotation="0" indent="0" justifyLastLine="0" shrinkToFit="0" readingOrder="0"/>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ill>
        <patternFill patternType="none">
          <fgColor indexed="64"/>
          <bgColor auto="1"/>
        </patternFill>
      </fill>
    </dxf>
    <dxf>
      <border>
        <bottom style="thin">
          <color theme="0" tint="-0.24994659260841701"/>
        </bottom>
      </border>
    </dxf>
    <dxf>
      <fill>
        <patternFill patternType="solid">
          <fgColor indexed="64"/>
          <bgColor rgb="FFEC3338"/>
        </patternFill>
      </fill>
      <alignment horizontal="center" vertical="center" textRotation="0" wrapText="0" indent="0" justifyLastLine="0" shrinkToFit="0" readingOrder="0"/>
      <border diagonalUp="0" diagonalDown="0">
        <left style="double">
          <color theme="0" tint="-0.24994659260841701"/>
        </left>
        <right style="double">
          <color theme="0" tint="-0.24994659260841701"/>
        </right>
        <top/>
        <bottom/>
        <vertical style="double">
          <color theme="0" tint="-0.24994659260841701"/>
        </vertical>
        <horizontal/>
      </border>
    </dxf>
    <dxf>
      <font>
        <color theme="0"/>
      </font>
      <fill>
        <patternFill>
          <bgColor rgb="FFFF00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00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ont>
        <color theme="0"/>
      </font>
      <border>
        <left/>
        <right/>
        <top/>
        <bottom/>
        <vertical/>
        <horizontal/>
      </border>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fill>
        <patternFill>
          <bgColor rgb="FFFF0000"/>
        </patternFill>
      </fill>
    </dxf>
    <dxf>
      <fill>
        <patternFill>
          <bgColor rgb="FFFFC000"/>
        </patternFill>
      </fill>
    </dxf>
    <dxf>
      <font>
        <color theme="0"/>
      </font>
      <fill>
        <patternFill>
          <bgColor rgb="FFFF0000"/>
        </patternFill>
      </fill>
    </dxf>
    <dxf>
      <fill>
        <patternFill>
          <bgColor rgb="FFFFFF00"/>
        </patternFill>
      </fill>
    </dxf>
    <dxf>
      <fill>
        <patternFill>
          <bgColor rgb="FF009900"/>
        </patternFill>
      </fill>
    </dxf>
    <dxf>
      <fill>
        <patternFill>
          <bgColor rgb="FFFFC000"/>
        </patternFill>
      </fill>
    </dxf>
    <dxf>
      <fill>
        <patternFill>
          <bgColor rgb="FFFF0000"/>
        </patternFill>
      </fill>
    </dxf>
    <dxf>
      <fill>
        <patternFill>
          <bgColor rgb="FFFFFF00"/>
        </patternFill>
      </fill>
    </dxf>
    <dxf>
      <fill>
        <patternFill>
          <bgColor rgb="FF009900"/>
        </patternFill>
      </fill>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fill>
        <patternFill patternType="none">
          <fgColor indexed="64"/>
          <bgColor auto="1"/>
        </patternFill>
      </fill>
      <alignment horizontal="center"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font>
        <strike val="0"/>
        <outline val="0"/>
        <shadow val="0"/>
        <u val="none"/>
        <vertAlign val="baseline"/>
        <sz val="11"/>
        <color auto="1"/>
        <name val="Calibri"/>
        <scheme val="minor"/>
      </font>
      <alignment horizontal="left" vertical="center" textRotation="0" wrapText="0" indent="0" justifyLastLine="0" shrinkToFit="0" readingOrder="0"/>
    </dxf>
    <dxf>
      <font>
        <strike val="0"/>
        <outline val="0"/>
        <shadow val="0"/>
        <u val="none"/>
        <vertAlign val="baseline"/>
        <sz val="11"/>
        <color auto="1"/>
        <name val="Calibri"/>
        <scheme val="minor"/>
      </font>
      <alignment horizontal="left" vertical="center" textRotation="0" wrapText="0" indent="0" justifyLastLine="0" shrinkToFit="0" readingOrder="0"/>
    </dxf>
    <dxf>
      <font>
        <b/>
        <strike val="0"/>
        <outline val="0"/>
        <shadow val="0"/>
        <u val="none"/>
        <vertAlign val="baseline"/>
        <sz val="11"/>
        <color theme="0"/>
        <name val="Calibri"/>
        <scheme val="minor"/>
      </font>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auto="1"/>
        </patternFill>
      </fill>
    </dxf>
    <dxf>
      <fill>
        <patternFill patternType="none">
          <fgColor indexed="64"/>
          <bgColor indexed="65"/>
        </patternFill>
      </fill>
      <border diagonalUp="0" diagonalDown="0" outline="0">
        <left/>
        <right style="hair">
          <color indexed="64"/>
        </right>
        <top style="hair">
          <color indexed="64"/>
        </top>
        <bottom/>
      </border>
    </dxf>
    <dxf>
      <alignment horizontal="left" vertical="center" textRotation="0" indent="0" justifyLastLine="0" shrinkToFit="0" readingOrder="0"/>
    </dxf>
    <dxf>
      <fill>
        <patternFill patternType="none">
          <fgColor indexed="64"/>
          <bgColor indexed="65"/>
        </patternFill>
      </fill>
      <border diagonalUp="0" diagonalDown="0" outline="0">
        <left/>
        <right style="hair">
          <color indexed="64"/>
        </right>
        <top style="hair">
          <color indexed="64"/>
        </top>
        <bottom/>
      </border>
    </dxf>
    <dxf>
      <fill>
        <patternFill>
          <fgColor indexed="64"/>
          <bgColor theme="0"/>
        </patternFill>
      </fill>
      <alignment horizontal="left" vertical="center" textRotation="0" indent="0" justifyLastLine="0" shrinkToFit="0" readingOrder="0"/>
    </dxf>
    <dxf>
      <alignment horizontal="left" vertical="center" textRotation="0" indent="0" justifyLastLine="0" shrinkToFit="0" readingOrder="0"/>
    </dxf>
    <dxf>
      <font>
        <strike val="0"/>
        <outline val="0"/>
        <shadow val="0"/>
        <u val="none"/>
        <vertAlign val="baseline"/>
        <sz val="11"/>
        <color theme="0"/>
        <name val="Calibri"/>
        <scheme val="minor"/>
      </font>
      <fill>
        <patternFill patternType="none">
          <fgColor indexed="64"/>
          <bgColor auto="1"/>
        </patternFill>
      </fill>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0"/>
      </font>
      <fill>
        <patternFill patternType="solid">
          <fgColor rgb="FFED3338"/>
          <bgColor rgb="FFEC3338"/>
        </patternFill>
      </fill>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color theme="1"/>
      </font>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left style="thin">
          <color theme="5"/>
        </left>
      </border>
    </dxf>
    <dxf>
      <border>
        <left style="thin">
          <color theme="5"/>
        </left>
      </border>
    </dxf>
    <dxf>
      <border>
        <top style="thin">
          <color theme="5"/>
        </top>
      </border>
    </dxf>
    <dxf>
      <border>
        <top style="thin">
          <color theme="5"/>
        </top>
      </border>
    </dxf>
    <dxf>
      <font>
        <b/>
        <color theme="1"/>
      </font>
    </dxf>
    <dxf>
      <font>
        <b/>
        <color theme="1"/>
      </font>
    </dxf>
    <dxf>
      <font>
        <b/>
        <color theme="1"/>
      </font>
      <border>
        <top style="double">
          <color theme="5"/>
        </top>
      </border>
    </dxf>
    <dxf>
      <font>
        <color theme="0"/>
      </font>
      <fill>
        <patternFill patternType="solid">
          <fgColor theme="5"/>
          <bgColor theme="5"/>
        </patternFill>
      </fill>
    </dxf>
    <dxf>
      <font>
        <color theme="1"/>
      </font>
      <border>
        <left style="thin">
          <color theme="5"/>
        </left>
        <right style="thin">
          <color theme="5"/>
        </right>
        <top style="thin">
          <color theme="5"/>
        </top>
        <bottom style="thin">
          <color theme="5"/>
        </bottom>
      </border>
    </dxf>
  </dxfs>
  <tableStyles count="2" defaultTableStyle="TableStyleMedium2" defaultPivotStyle="PivotStyleLight16">
    <tableStyle name="BK" pivot="0" count="9">
      <tableStyleElement type="wholeTable" dxfId="257"/>
      <tableStyleElement type="headerRow" dxfId="256"/>
      <tableStyleElement type="totalRow" dxfId="255"/>
      <tableStyleElement type="firstColumn" dxfId="254"/>
      <tableStyleElement type="lastColumn" dxfId="253"/>
      <tableStyleElement type="firstRowStripe" dxfId="252"/>
      <tableStyleElement type="secondRowStripe" dxfId="251"/>
      <tableStyleElement type="firstColumnStripe" dxfId="250"/>
      <tableStyleElement type="secondColumnStripe" dxfId="249"/>
    </tableStyle>
    <tableStyle name="BM" pivot="0" count="9">
      <tableStyleElement type="wholeTable" dxfId="248"/>
      <tableStyleElement type="headerRow" dxfId="247"/>
      <tableStyleElement type="totalRow" dxfId="246"/>
      <tableStyleElement type="firstColumn" dxfId="245"/>
      <tableStyleElement type="lastColumn" dxfId="244"/>
      <tableStyleElement type="firstRowStripe" dxfId="243"/>
      <tableStyleElement type="secondRowStripe" dxfId="242"/>
      <tableStyleElement type="firstColumnStripe" dxfId="241"/>
      <tableStyleElement type="secondColumnStripe" dxfId="240"/>
    </tableStyle>
  </tableStyles>
  <colors>
    <mruColors>
      <color rgb="FFEC3338"/>
      <color rgb="FFED3338"/>
      <color rgb="FF33CC33"/>
      <color rgb="FF980B27"/>
      <color rgb="FFB2C8E0"/>
      <color rgb="FFFFF3FE"/>
      <color rgb="FF00CC00"/>
      <color rgb="FFFEE6FB"/>
      <color rgb="FF80808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image" Target="../media/image9.PNG"/></Relationships>
</file>

<file path=xl/charts/_rels/chart2.xml.rels><?xml version="1.0" encoding="UTF-8" standalone="yes"?>
<Relationships xmlns="http://schemas.openxmlformats.org/package/2006/relationships"><Relationship Id="rId1" Type="http://schemas.openxmlformats.org/officeDocument/2006/relationships/image" Target="../media/image9.PNG"/></Relationships>
</file>

<file path=xl/charts/_rels/chart3.xml.rels><?xml version="1.0" encoding="UTF-8" standalone="yes"?>
<Relationships xmlns="http://schemas.openxmlformats.org/package/2006/relationships"><Relationship Id="rId1" Type="http://schemas.openxmlformats.org/officeDocument/2006/relationships/image" Target="../media/image9.PNG"/></Relationships>
</file>

<file path=xl/charts/_rels/chart4.xml.rels><?xml version="1.0" encoding="UTF-8" standalone="yes"?>
<Relationships xmlns="http://schemas.openxmlformats.org/package/2006/relationships"><Relationship Id="rId1" Type="http://schemas.openxmlformats.org/officeDocument/2006/relationships/image" Target="../media/image9.PNG"/></Relationships>
</file>

<file path=xl/charts/_rels/chart5.xml.rels><?xml version="1.0" encoding="UTF-8" standalone="yes"?>
<Relationships xmlns="http://schemas.openxmlformats.org/package/2006/relationships"><Relationship Id="rId1" Type="http://schemas.openxmlformats.org/officeDocument/2006/relationships/image" Target="../media/image9.PNG"/></Relationships>
</file>

<file path=xl/charts/_rels/chart6.xml.rels><?xml version="1.0" encoding="UTF-8" standalone="yes"?>
<Relationships xmlns="http://schemas.openxmlformats.org/package/2006/relationships"><Relationship Id="rId1" Type="http://schemas.openxmlformats.org/officeDocument/2006/relationships/image" Target="../media/image9.PNG"/></Relationships>
</file>

<file path=xl/charts/_rels/chart7.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3" Type="http://schemas.openxmlformats.org/officeDocument/2006/relationships/image" Target="../media/image10.PNG"/><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a:t>
            </a:r>
          </a:p>
        </c:rich>
      </c:tx>
      <c:layout/>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1"/>
          <c:order val="1"/>
          <c:tx>
            <c:v>RI</c:v>
          </c:tx>
          <c:spPr>
            <a:ln>
              <a:noFill/>
            </a:ln>
          </c:spPr>
          <c:xVal>
            <c:numRef>
              <c:f>'R I'!$AK$3</c:f>
              <c:numCache>
                <c:formatCode>0.00</c:formatCode>
                <c:ptCount val="1"/>
                <c:pt idx="0">
                  <c:v>3.4055555555555554</c:v>
                </c:pt>
              </c:numCache>
            </c:numRef>
          </c:xVal>
          <c:yVal>
            <c:numRef>
              <c:f>'R I'!$AJ$3</c:f>
              <c:numCache>
                <c:formatCode>0.00</c:formatCode>
                <c:ptCount val="1"/>
                <c:pt idx="0">
                  <c:v>2.7333333333333334</c:v>
                </c:pt>
              </c:numCache>
            </c:numRef>
          </c:yVal>
          <c:smooth val="0"/>
          <c:extLst>
            <c:ext xmlns:c16="http://schemas.microsoft.com/office/drawing/2014/chart" uri="{C3380CC4-5D6E-409C-BE32-E72D297353CC}">
              <c16:uniqueId val="{00000000-79BB-42DD-BBA3-B14D004FDA12}"/>
            </c:ext>
          </c:extLst>
        </c:ser>
        <c:ser>
          <c:idx val="0"/>
          <c:order val="0"/>
          <c:tx>
            <c:v>RI</c:v>
          </c:tx>
          <c:spPr>
            <a:ln>
              <a:noFill/>
            </a:ln>
          </c:spPr>
          <c:marker>
            <c:symbol val="circle"/>
            <c:size val="23"/>
            <c:spPr>
              <a:gradFill>
                <a:gsLst>
                  <a:gs pos="0">
                    <a:schemeClr val="bg1">
                      <a:lumMod val="50000"/>
                    </a:schemeClr>
                  </a:gs>
                  <a:gs pos="94000">
                    <a:schemeClr val="accent1">
                      <a:tint val="44500"/>
                      <a:satMod val="160000"/>
                    </a:schemeClr>
                  </a:gs>
                  <a:gs pos="100000">
                    <a:schemeClr val="accent1">
                      <a:tint val="23500"/>
                      <a:satMod val="160000"/>
                    </a:schemeClr>
                  </a:gs>
                </a:gsLst>
                <a:lin ang="5400000" scaled="0"/>
              </a:gradFill>
              <a:ln>
                <a:noFill/>
              </a:ln>
            </c:spPr>
          </c:marker>
          <c:dLbls>
            <c:spPr>
              <a:noFill/>
              <a:ln>
                <a:noFill/>
              </a:ln>
              <a:effectLst/>
            </c:spPr>
            <c:txPr>
              <a:bodyPr/>
              <a:lstStyle/>
              <a:p>
                <a:pPr>
                  <a:defRPr sz="1600"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 I'!$AK$3</c:f>
              <c:numCache>
                <c:formatCode>0.00</c:formatCode>
                <c:ptCount val="1"/>
                <c:pt idx="0">
                  <c:v>3.4055555555555554</c:v>
                </c:pt>
              </c:numCache>
            </c:numRef>
          </c:xVal>
          <c:yVal>
            <c:numRef>
              <c:f>'R I'!$AJ$3</c:f>
              <c:numCache>
                <c:formatCode>0.00</c:formatCode>
                <c:ptCount val="1"/>
                <c:pt idx="0">
                  <c:v>2.7333333333333334</c:v>
                </c:pt>
              </c:numCache>
            </c:numRef>
          </c:yVal>
          <c:smooth val="0"/>
          <c:extLst>
            <c:ext xmlns:c16="http://schemas.microsoft.com/office/drawing/2014/chart" uri="{C3380CC4-5D6E-409C-BE32-E72D297353CC}">
              <c16:uniqueId val="{00000001-79BB-42DD-BBA3-B14D004FDA12}"/>
            </c:ext>
          </c:extLst>
        </c:ser>
        <c:dLbls>
          <c:showLegendKey val="0"/>
          <c:showVal val="0"/>
          <c:showCatName val="0"/>
          <c:showSerName val="0"/>
          <c:showPercent val="0"/>
          <c:showBubbleSize val="0"/>
        </c:dLbls>
        <c:axId val="-83952016"/>
        <c:axId val="-83947120"/>
      </c:scatterChart>
      <c:valAx>
        <c:axId val="-83952016"/>
        <c:scaling>
          <c:orientation val="minMax"/>
          <c:max val="5"/>
          <c:min val="0"/>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7120"/>
        <c:crosses val="autoZero"/>
        <c:crossBetween val="midCat"/>
        <c:majorUnit val="1"/>
      </c:valAx>
      <c:valAx>
        <c:axId val="-8394712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52016"/>
        <c:crosses val="autoZero"/>
        <c:crossBetween val="midCat"/>
        <c:majorUnit val="1"/>
        <c:minorUnit val="0.2"/>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 por factor de riesgo</a:t>
            </a:r>
          </a:p>
        </c:rich>
      </c:tx>
      <c:layout/>
      <c:overlay val="1"/>
    </c:title>
    <c:autoTitleDeleted val="0"/>
    <c:plotArea>
      <c:layout>
        <c:manualLayout>
          <c:layoutTarget val="inner"/>
          <c:xMode val="edge"/>
          <c:yMode val="edge"/>
          <c:x val="9.7453731917325495E-2"/>
          <c:y val="0.12592957556998138"/>
          <c:w val="0.87429977083632382"/>
          <c:h val="0.80337411669695136"/>
        </c:manualLayout>
      </c:layout>
      <c:scatterChart>
        <c:scatterStyle val="lineMarker"/>
        <c:varyColors val="0"/>
        <c:ser>
          <c:idx val="0"/>
          <c:order val="0"/>
          <c:tx>
            <c:strRef>
              <c:f>'Mapa de riesgo'!$I$1</c:f>
              <c:strCache>
                <c:ptCount val="1"/>
                <c:pt idx="0">
                  <c:v>P</c:v>
                </c:pt>
              </c:strCache>
            </c:strRef>
          </c:tx>
          <c:spPr>
            <a:ln w="28575">
              <a:solidFill>
                <a:schemeClr val="tx1"/>
              </a:solidFill>
            </a:ln>
          </c:spPr>
          <c:marker>
            <c:symbol val="circle"/>
            <c:size val="21"/>
            <c:spPr>
              <a:solidFill>
                <a:schemeClr val="tx1"/>
              </a:solidFill>
              <a:ln>
                <a:solidFill>
                  <a:schemeClr val="tx1"/>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FR'!$D$6</c:f>
              <c:numCache>
                <c:formatCode>0.00</c:formatCode>
                <c:ptCount val="1"/>
                <c:pt idx="0">
                  <c:v>3.5</c:v>
                </c:pt>
              </c:numCache>
            </c:numRef>
          </c:xVal>
          <c:yVal>
            <c:numRef>
              <c:f>'RI Consolidado por FR'!$C$6</c:f>
              <c:numCache>
                <c:formatCode>0.00</c:formatCode>
                <c:ptCount val="1"/>
                <c:pt idx="0">
                  <c:v>2</c:v>
                </c:pt>
              </c:numCache>
            </c:numRef>
          </c:yVal>
          <c:smooth val="0"/>
          <c:extLst>
            <c:ext xmlns:c16="http://schemas.microsoft.com/office/drawing/2014/chart" uri="{C3380CC4-5D6E-409C-BE32-E72D297353CC}">
              <c16:uniqueId val="{00000000-1359-4FC7-A098-399432954BDD}"/>
            </c:ext>
          </c:extLst>
        </c:ser>
        <c:ser>
          <c:idx val="1"/>
          <c:order val="1"/>
          <c:tx>
            <c:strRef>
              <c:f>'Mapa de riesgo'!$I$2</c:f>
              <c:strCache>
                <c:ptCount val="1"/>
                <c:pt idx="0">
                  <c:v>C</c:v>
                </c:pt>
              </c:strCache>
            </c:strRef>
          </c:tx>
          <c:spPr>
            <a:ln w="28575">
              <a:noFill/>
            </a:ln>
          </c:spPr>
          <c:marker>
            <c:symbol val="circle"/>
            <c:size val="21"/>
            <c:spPr>
              <a:solidFill>
                <a:srgbClr val="6F2927"/>
              </a:solidFill>
              <a:ln>
                <a:solidFill>
                  <a:srgbClr val="6F2927"/>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FR'!$D$7</c:f>
              <c:numCache>
                <c:formatCode>0.00</c:formatCode>
                <c:ptCount val="1"/>
                <c:pt idx="0">
                  <c:v>3</c:v>
                </c:pt>
              </c:numCache>
            </c:numRef>
          </c:xVal>
          <c:yVal>
            <c:numRef>
              <c:f>'RI Consolidado por FR'!$C$7</c:f>
              <c:numCache>
                <c:formatCode>0.00</c:formatCode>
                <c:ptCount val="1"/>
                <c:pt idx="0">
                  <c:v>3</c:v>
                </c:pt>
              </c:numCache>
            </c:numRef>
          </c:yVal>
          <c:smooth val="0"/>
          <c:extLst>
            <c:ext xmlns:c16="http://schemas.microsoft.com/office/drawing/2014/chart" uri="{C3380CC4-5D6E-409C-BE32-E72D297353CC}">
              <c16:uniqueId val="{00000001-1359-4FC7-A098-399432954BDD}"/>
            </c:ext>
          </c:extLst>
        </c:ser>
        <c:ser>
          <c:idx val="2"/>
          <c:order val="2"/>
          <c:tx>
            <c:strRef>
              <c:f>'Mapa de riesgo'!$I$3</c:f>
              <c:strCache>
                <c:ptCount val="1"/>
                <c:pt idx="0">
                  <c:v>J</c:v>
                </c:pt>
              </c:strCache>
            </c:strRef>
          </c:tx>
          <c:spPr>
            <a:ln w="28575">
              <a:noFill/>
            </a:ln>
          </c:spPr>
          <c:marker>
            <c:symbol val="circle"/>
            <c:size val="20"/>
            <c:spPr>
              <a:solidFill>
                <a:srgbClr val="002060"/>
              </a:solidFill>
              <a:ln>
                <a:solidFill>
                  <a:srgbClr val="002060"/>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FR'!#REF!</c:f>
            </c:numRef>
          </c:xVal>
          <c:yVal>
            <c:numRef>
              <c:f>'RI Consolidado por FR'!#REF!</c:f>
              <c:numCache>
                <c:formatCode>General</c:formatCode>
                <c:ptCount val="1"/>
                <c:pt idx="0">
                  <c:v>1</c:v>
                </c:pt>
              </c:numCache>
            </c:numRef>
          </c:yVal>
          <c:smooth val="0"/>
          <c:extLst>
            <c:ext xmlns:c16="http://schemas.microsoft.com/office/drawing/2014/chart" uri="{C3380CC4-5D6E-409C-BE32-E72D297353CC}">
              <c16:uniqueId val="{00000002-1359-4FC7-A098-399432954BDD}"/>
            </c:ext>
          </c:extLst>
        </c:ser>
        <c:ser>
          <c:idx val="3"/>
          <c:order val="3"/>
          <c:tx>
            <c:strRef>
              <c:f>'Mapa de riesgo'!$I$4</c:f>
              <c:strCache>
                <c:ptCount val="1"/>
                <c:pt idx="0">
                  <c:v>S</c:v>
                </c:pt>
              </c:strCache>
            </c:strRef>
          </c:tx>
          <c:spPr>
            <a:ln>
              <a:solidFill>
                <a:schemeClr val="accent1"/>
              </a:solidFill>
            </a:ln>
          </c:spPr>
          <c:marker>
            <c:symbol val="circle"/>
            <c:size val="20"/>
            <c:spPr>
              <a:solidFill>
                <a:schemeClr val="tx2">
                  <a:lumMod val="60000"/>
                  <a:lumOff val="40000"/>
                </a:schemeClr>
              </a:solidFill>
            </c:spPr>
          </c:marker>
          <c:dLbls>
            <c:spPr>
              <a:noFill/>
              <a:ln>
                <a:noFill/>
              </a:ln>
              <a:effectLst/>
            </c:spPr>
            <c:txPr>
              <a:bodyPr/>
              <a:lstStyle/>
              <a:p>
                <a:pPr>
                  <a:defRPr sz="14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FR'!$D$8</c:f>
              <c:numCache>
                <c:formatCode>0.00</c:formatCode>
                <c:ptCount val="1"/>
                <c:pt idx="0">
                  <c:v>3.2666666666666666</c:v>
                </c:pt>
              </c:numCache>
            </c:numRef>
          </c:xVal>
          <c:yVal>
            <c:numRef>
              <c:f>'RI Consolidado por FR'!$C$8</c:f>
              <c:numCache>
                <c:formatCode>0.00</c:formatCode>
                <c:ptCount val="1"/>
                <c:pt idx="0">
                  <c:v>2.4</c:v>
                </c:pt>
              </c:numCache>
            </c:numRef>
          </c:yVal>
          <c:smooth val="0"/>
          <c:extLst>
            <c:ext xmlns:c16="http://schemas.microsoft.com/office/drawing/2014/chart" uri="{C3380CC4-5D6E-409C-BE32-E72D297353CC}">
              <c16:uniqueId val="{00000003-1359-4FC7-A098-399432954BDD}"/>
            </c:ext>
          </c:extLst>
        </c:ser>
        <c:ser>
          <c:idx val="5"/>
          <c:order val="4"/>
          <c:tx>
            <c:strRef>
              <c:f>Tablas1!$J$7</c:f>
              <c:strCache>
                <c:ptCount val="1"/>
                <c:pt idx="0">
                  <c:v>Cl</c:v>
                </c:pt>
              </c:strCache>
            </c:strRef>
          </c:tx>
          <c:dLbls>
            <c:dLbl>
              <c:idx val="0"/>
              <c:spPr>
                <a:solidFill>
                  <a:schemeClr val="accent4"/>
                </a:solidFill>
              </c:spPr>
              <c:txPr>
                <a:bodyPr/>
                <a:lstStyle/>
                <a:p>
                  <a:pPr>
                    <a:defRPr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3-36CB-4EC2-852B-51C09FF2947F}"/>
                </c:ext>
              </c:extLst>
            </c:dLbl>
            <c:spPr>
              <a:solidFill>
                <a:sysClr val="window" lastClr="FFFFFF"/>
              </a:solidFill>
              <a:ln>
                <a:solidFill>
                  <a:sysClr val="windowText" lastClr="000000">
                    <a:lumMod val="65000"/>
                    <a:lumOff val="35000"/>
                  </a:sysClr>
                </a:solid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FR'!$D$9</c:f>
              <c:numCache>
                <c:formatCode>0.00</c:formatCode>
                <c:ptCount val="1"/>
                <c:pt idx="0">
                  <c:v>3.75</c:v>
                </c:pt>
              </c:numCache>
            </c:numRef>
          </c:xVal>
          <c:yVal>
            <c:numRef>
              <c:f>'RI Consolidado por FR'!$C$9</c:f>
              <c:numCache>
                <c:formatCode>0.00</c:formatCode>
                <c:ptCount val="1"/>
                <c:pt idx="0">
                  <c:v>3</c:v>
                </c:pt>
              </c:numCache>
            </c:numRef>
          </c:yVal>
          <c:smooth val="0"/>
          <c:extLst>
            <c:ext xmlns:c16="http://schemas.microsoft.com/office/drawing/2014/chart" uri="{C3380CC4-5D6E-409C-BE32-E72D297353CC}">
              <c16:uniqueId val="{00000004-1359-4FC7-A098-399432954BDD}"/>
            </c:ext>
          </c:extLst>
        </c:ser>
        <c:ser>
          <c:idx val="4"/>
          <c:order val="5"/>
          <c:tx>
            <c:strRef>
              <c:f>Tablas1!$J$8</c:f>
              <c:strCache>
                <c:ptCount val="1"/>
                <c:pt idx="0">
                  <c:v>Di</c:v>
                </c:pt>
              </c:strCache>
            </c:strRef>
          </c:tx>
          <c:dLbls>
            <c:dLbl>
              <c:idx val="0"/>
              <c:spPr>
                <a:solidFill>
                  <a:schemeClr val="accent3"/>
                </a:solidFill>
              </c:spPr>
              <c:txPr>
                <a:bodyPr/>
                <a:lstStyle/>
                <a:p>
                  <a:pPr>
                    <a:defRPr sz="8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2-36CB-4EC2-852B-51C09FF2947F}"/>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FR'!$D$10</c:f>
              <c:numCache>
                <c:formatCode>0.00</c:formatCode>
                <c:ptCount val="1"/>
                <c:pt idx="0">
                  <c:v>4</c:v>
                </c:pt>
              </c:numCache>
            </c:numRef>
          </c:xVal>
          <c:yVal>
            <c:numRef>
              <c:f>'RI Consolidado por FR'!$C$10</c:f>
              <c:numCache>
                <c:formatCode>0.00</c:formatCode>
                <c:ptCount val="1"/>
                <c:pt idx="0">
                  <c:v>4</c:v>
                </c:pt>
              </c:numCache>
            </c:numRef>
          </c:yVal>
          <c:smooth val="0"/>
          <c:extLst>
            <c:ext xmlns:c16="http://schemas.microsoft.com/office/drawing/2014/chart" uri="{C3380CC4-5D6E-409C-BE32-E72D297353CC}">
              <c16:uniqueId val="{00000005-1359-4FC7-A098-399432954BDD}"/>
            </c:ext>
          </c:extLst>
        </c:ser>
        <c:ser>
          <c:idx val="6"/>
          <c:order val="6"/>
          <c:tx>
            <c:strRef>
              <c:f>Tablas1!$J$9</c:f>
              <c:strCache>
                <c:ptCount val="1"/>
                <c:pt idx="0">
                  <c:v>Co</c:v>
                </c:pt>
              </c:strCache>
            </c:strRef>
          </c:tx>
          <c:dLbls>
            <c:dLbl>
              <c:idx val="0"/>
              <c:spPr/>
              <c:txPr>
                <a:bodyPr/>
                <a:lstStyle/>
                <a:p>
                  <a:pPr>
                    <a:defRPr sz="85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1-36CB-4EC2-852B-51C09FF2947F}"/>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FR'!#REF!</c:f>
            </c:numRef>
          </c:xVal>
          <c:yVal>
            <c:numRef>
              <c:f>'RI Consolidado por FR'!#REF!</c:f>
              <c:numCache>
                <c:formatCode>General</c:formatCode>
                <c:ptCount val="1"/>
                <c:pt idx="0">
                  <c:v>1</c:v>
                </c:pt>
              </c:numCache>
            </c:numRef>
          </c:yVal>
          <c:smooth val="0"/>
          <c:extLst>
            <c:ext xmlns:c16="http://schemas.microsoft.com/office/drawing/2014/chart" uri="{C3380CC4-5D6E-409C-BE32-E72D297353CC}">
              <c16:uniqueId val="{00000006-1359-4FC7-A098-399432954BDD}"/>
            </c:ext>
          </c:extLst>
        </c:ser>
        <c:ser>
          <c:idx val="7"/>
          <c:order val="7"/>
          <c:tx>
            <c:strRef>
              <c:f>Tablas1!$J$10</c:f>
              <c:strCache>
                <c:ptCount val="1"/>
                <c:pt idx="0">
                  <c:v>Di</c:v>
                </c:pt>
              </c:strCache>
            </c:strRef>
          </c:tx>
          <c:xVal>
            <c:numRef>
              <c:f>'RI Consolidado por FR'!#REF!</c:f>
            </c:numRef>
          </c:xVal>
          <c:yVal>
            <c:numRef>
              <c:f>'RI Consolidado por FR'!#REF!</c:f>
              <c:numCache>
                <c:formatCode>General</c:formatCode>
                <c:ptCount val="1"/>
                <c:pt idx="0">
                  <c:v>1</c:v>
                </c:pt>
              </c:numCache>
            </c:numRef>
          </c:yVal>
          <c:smooth val="0"/>
          <c:extLst>
            <c:ext xmlns:c16="http://schemas.microsoft.com/office/drawing/2014/chart" uri="{C3380CC4-5D6E-409C-BE32-E72D297353CC}">
              <c16:uniqueId val="{00000007-1359-4FC7-A098-399432954BDD}"/>
            </c:ext>
          </c:extLst>
        </c:ser>
        <c:dLbls>
          <c:showLegendKey val="0"/>
          <c:showVal val="0"/>
          <c:showCatName val="0"/>
          <c:showSerName val="0"/>
          <c:showPercent val="0"/>
          <c:showBubbleSize val="0"/>
        </c:dLbls>
        <c:axId val="-83945488"/>
        <c:axId val="-83938960"/>
      </c:scatterChart>
      <c:valAx>
        <c:axId val="-83945488"/>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38960"/>
        <c:crosses val="autoZero"/>
        <c:crossBetween val="midCat"/>
        <c:majorUnit val="0.5"/>
      </c:valAx>
      <c:valAx>
        <c:axId val="-8393896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5488"/>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inherente por proceso/área de práctica</a:t>
            </a:r>
          </a:p>
        </c:rich>
      </c:tx>
      <c:layout/>
      <c:overlay val="1"/>
    </c:title>
    <c:autoTitleDeleted val="0"/>
    <c:plotArea>
      <c:layout>
        <c:manualLayout>
          <c:layoutTarget val="inner"/>
          <c:xMode val="edge"/>
          <c:yMode val="edge"/>
          <c:x val="8.9250421508290143E-2"/>
          <c:y val="0.10108798707853826"/>
          <c:w val="0.87429977083632382"/>
          <c:h val="0.80337411669695136"/>
        </c:manualLayout>
      </c:layout>
      <c:scatterChart>
        <c:scatterStyle val="lineMarker"/>
        <c:varyColors val="0"/>
        <c:ser>
          <c:idx val="0"/>
          <c:order val="0"/>
          <c:tx>
            <c:strRef>
              <c:f>'Mapa de riesgo'!$Q$1</c:f>
              <c:strCache>
                <c:ptCount val="1"/>
                <c:pt idx="0">
                  <c:v>Co</c:v>
                </c:pt>
              </c:strCache>
            </c:strRef>
          </c:tx>
          <c:spPr>
            <a:ln w="28575">
              <a:noFill/>
            </a:ln>
          </c:spPr>
          <c:marker>
            <c:symbol val="circle"/>
            <c:size val="19"/>
            <c:spPr>
              <a:solidFill>
                <a:schemeClr val="tx2">
                  <a:lumMod val="75000"/>
                </a:schemeClr>
              </a:solidFill>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FR'!$J$6</c:f>
              <c:numCache>
                <c:formatCode>0.00</c:formatCode>
                <c:ptCount val="1"/>
                <c:pt idx="0">
                  <c:v>0</c:v>
                </c:pt>
              </c:numCache>
            </c:numRef>
          </c:xVal>
          <c:yVal>
            <c:numRef>
              <c:f>'RI Consolidado por FR'!$I$6</c:f>
              <c:numCache>
                <c:formatCode>0.00</c:formatCode>
                <c:ptCount val="1"/>
                <c:pt idx="0">
                  <c:v>0</c:v>
                </c:pt>
              </c:numCache>
            </c:numRef>
          </c:yVal>
          <c:smooth val="0"/>
          <c:extLst>
            <c:ext xmlns:c16="http://schemas.microsoft.com/office/drawing/2014/chart" uri="{C3380CC4-5D6E-409C-BE32-E72D297353CC}">
              <c16:uniqueId val="{00000000-6071-48E2-A3E7-6732A195A1C3}"/>
            </c:ext>
          </c:extLst>
        </c:ser>
        <c:ser>
          <c:idx val="1"/>
          <c:order val="1"/>
          <c:tx>
            <c:strRef>
              <c:f>'Mapa de riesgo'!$Q$2</c:f>
              <c:strCache>
                <c:ptCount val="1"/>
                <c:pt idx="0">
                  <c:v>Gs</c:v>
                </c:pt>
              </c:strCache>
            </c:strRef>
          </c:tx>
          <c:spPr>
            <a:ln w="28575">
              <a:noFill/>
            </a:ln>
          </c:spPr>
          <c:marker>
            <c:symbol val="circle"/>
            <c:size val="18"/>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1-6071-48E2-A3E7-6732A195A1C3}"/>
              </c:ext>
            </c:extLst>
          </c:dPt>
          <c:dLbls>
            <c:spPr>
              <a:noFill/>
              <a:ln>
                <a:noFill/>
              </a:ln>
              <a:effectLst/>
            </c:spPr>
            <c:txPr>
              <a:bodyPr/>
              <a:lstStyle/>
              <a:p>
                <a:pPr>
                  <a:defRPr sz="10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FR'!$J$7</c:f>
              <c:numCache>
                <c:formatCode>0.00</c:formatCode>
                <c:ptCount val="1"/>
                <c:pt idx="0">
                  <c:v>3.0833333333333335</c:v>
                </c:pt>
              </c:numCache>
            </c:numRef>
          </c:xVal>
          <c:yVal>
            <c:numRef>
              <c:f>'RI Consolidado por FR'!$I$7</c:f>
              <c:numCache>
                <c:formatCode>0.00</c:formatCode>
                <c:ptCount val="1"/>
                <c:pt idx="0">
                  <c:v>2.6666666666666665</c:v>
                </c:pt>
              </c:numCache>
            </c:numRef>
          </c:yVal>
          <c:smooth val="0"/>
          <c:extLst>
            <c:ext xmlns:c16="http://schemas.microsoft.com/office/drawing/2014/chart" uri="{C3380CC4-5D6E-409C-BE32-E72D297353CC}">
              <c16:uniqueId val="{00000002-6071-48E2-A3E7-6732A195A1C3}"/>
            </c:ext>
          </c:extLst>
        </c:ser>
        <c:ser>
          <c:idx val="2"/>
          <c:order val="2"/>
          <c:tx>
            <c:strRef>
              <c:f>'Mapa de riesgo'!$Q$3</c:f>
              <c:strCache>
                <c:ptCount val="1"/>
                <c:pt idx="0">
                  <c:v>El</c:v>
                </c:pt>
              </c:strCache>
            </c:strRef>
          </c:tx>
          <c:spPr>
            <a:ln w="28575">
              <a:noFill/>
            </a:ln>
          </c:spPr>
          <c:marker>
            <c:symbol val="circle"/>
            <c:size val="18"/>
            <c:spPr>
              <a:solidFill>
                <a:schemeClr val="accent2">
                  <a:lumMod val="75000"/>
                </a:schemeClr>
              </a:solidFill>
              <a:ln>
                <a:solidFill>
                  <a:srgbClr val="6F2927"/>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FR'!$J$8</c:f>
              <c:numCache>
                <c:formatCode>0.00</c:formatCode>
                <c:ptCount val="1"/>
                <c:pt idx="0">
                  <c:v>0</c:v>
                </c:pt>
              </c:numCache>
            </c:numRef>
          </c:xVal>
          <c:yVal>
            <c:numRef>
              <c:f>'RI Consolidado por FR'!$I$8</c:f>
              <c:numCache>
                <c:formatCode>0.00</c:formatCode>
                <c:ptCount val="1"/>
                <c:pt idx="0">
                  <c:v>0</c:v>
                </c:pt>
              </c:numCache>
            </c:numRef>
          </c:yVal>
          <c:smooth val="0"/>
          <c:extLst>
            <c:ext xmlns:c16="http://schemas.microsoft.com/office/drawing/2014/chart" uri="{C3380CC4-5D6E-409C-BE32-E72D297353CC}">
              <c16:uniqueId val="{00000003-6071-48E2-A3E7-6732A195A1C3}"/>
            </c:ext>
          </c:extLst>
        </c:ser>
        <c:ser>
          <c:idx val="3"/>
          <c:order val="3"/>
          <c:tx>
            <c:strRef>
              <c:f>'Mapa de riesgo'!$Q$4</c:f>
              <c:strCache>
                <c:ptCount val="1"/>
                <c:pt idx="0">
                  <c:v>At</c:v>
                </c:pt>
              </c:strCache>
            </c:strRef>
          </c:tx>
          <c:spPr>
            <a:ln w="28575">
              <a:noFill/>
            </a:ln>
          </c:spPr>
          <c:marker>
            <c:symbol val="circle"/>
            <c:size val="18"/>
            <c:spPr>
              <a:ln>
                <a:solidFill>
                  <a:srgbClr val="7030A0"/>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FR'!$J$9</c:f>
              <c:numCache>
                <c:formatCode>0.00</c:formatCode>
                <c:ptCount val="1"/>
                <c:pt idx="0">
                  <c:v>0</c:v>
                </c:pt>
              </c:numCache>
            </c:numRef>
          </c:xVal>
          <c:yVal>
            <c:numRef>
              <c:f>'RI Consolidado por FR'!$I$9</c:f>
              <c:numCache>
                <c:formatCode>0.00</c:formatCode>
                <c:ptCount val="1"/>
                <c:pt idx="0">
                  <c:v>0</c:v>
                </c:pt>
              </c:numCache>
            </c:numRef>
          </c:yVal>
          <c:smooth val="0"/>
          <c:extLst>
            <c:ext xmlns:c16="http://schemas.microsoft.com/office/drawing/2014/chart" uri="{C3380CC4-5D6E-409C-BE32-E72D297353CC}">
              <c16:uniqueId val="{00000004-6071-48E2-A3E7-6732A195A1C3}"/>
            </c:ext>
          </c:extLst>
        </c:ser>
        <c:ser>
          <c:idx val="4"/>
          <c:order val="4"/>
          <c:tx>
            <c:strRef>
              <c:f>'Mapa de riesgo'!$T$1</c:f>
              <c:strCache>
                <c:ptCount val="1"/>
                <c:pt idx="0">
                  <c:v>Eó</c:v>
                </c:pt>
              </c:strCache>
            </c:strRef>
          </c:tx>
          <c:spPr>
            <a:ln w="28575">
              <a:solidFill>
                <a:schemeClr val="bg2">
                  <a:lumMod val="75000"/>
                </a:schemeClr>
              </a:solidFill>
            </a:ln>
          </c:spPr>
          <c:marker>
            <c:symbol val="circle"/>
            <c:size val="20"/>
            <c:spPr>
              <a:solidFill>
                <a:schemeClr val="bg2">
                  <a:lumMod val="75000"/>
                </a:schemeClr>
              </a:solidFill>
              <a:ln>
                <a:solidFill>
                  <a:schemeClr val="bg2">
                    <a:lumMod val="75000"/>
                  </a:schemeClr>
                </a:solidFill>
              </a:ln>
            </c:spPr>
          </c:marker>
          <c:dLbls>
            <c:spPr>
              <a:noFill/>
              <a:ln>
                <a:noFill/>
              </a:ln>
              <a:effectLst/>
            </c:spPr>
            <c:txPr>
              <a:bodyPr/>
              <a:lstStyle/>
              <a:p>
                <a:pPr>
                  <a:defRPr sz="1050"/>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FR'!$J$10</c:f>
              <c:numCache>
                <c:formatCode>0.00</c:formatCode>
                <c:ptCount val="1"/>
                <c:pt idx="0">
                  <c:v>4.75</c:v>
                </c:pt>
              </c:numCache>
            </c:numRef>
          </c:xVal>
          <c:yVal>
            <c:numRef>
              <c:f>'RI Consolidado por FR'!$I$10</c:f>
              <c:numCache>
                <c:formatCode>0.00</c:formatCode>
                <c:ptCount val="1"/>
                <c:pt idx="0">
                  <c:v>4</c:v>
                </c:pt>
              </c:numCache>
            </c:numRef>
          </c:yVal>
          <c:smooth val="0"/>
          <c:extLst>
            <c:ext xmlns:c16="http://schemas.microsoft.com/office/drawing/2014/chart" uri="{C3380CC4-5D6E-409C-BE32-E72D297353CC}">
              <c16:uniqueId val="{00000005-6071-48E2-A3E7-6732A195A1C3}"/>
            </c:ext>
          </c:extLst>
        </c:ser>
        <c:ser>
          <c:idx val="5"/>
          <c:order val="5"/>
          <c:tx>
            <c:strRef>
              <c:f>'Mapa de riesgo'!$T$2</c:f>
              <c:strCache>
                <c:ptCount val="1"/>
                <c:pt idx="0">
                  <c:v>Ge</c:v>
                </c:pt>
              </c:strCache>
            </c:strRef>
          </c:tx>
          <c:spPr>
            <a:ln w="28575">
              <a:noFill/>
            </a:ln>
          </c:spPr>
          <c:marker>
            <c:symbol val="circle"/>
            <c:size val="20"/>
            <c:spPr>
              <a:solidFill>
                <a:schemeClr val="bg1">
                  <a:lumMod val="65000"/>
                </a:schemeClr>
              </a:solidFill>
            </c:spPr>
          </c:marker>
          <c:dLbls>
            <c:spPr>
              <a:noFill/>
              <a:ln>
                <a:noFill/>
              </a:ln>
              <a:effectLst/>
            </c:spPr>
            <c:txPr>
              <a:bodyPr/>
              <a:lstStyle/>
              <a:p>
                <a:pPr>
                  <a:defRPr sz="9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FR'!$J$11</c:f>
              <c:numCache>
                <c:formatCode>0.00</c:formatCode>
                <c:ptCount val="1"/>
                <c:pt idx="0">
                  <c:v>0</c:v>
                </c:pt>
              </c:numCache>
            </c:numRef>
          </c:xVal>
          <c:yVal>
            <c:numRef>
              <c:f>'RI Consolidado por FR'!$I$11</c:f>
              <c:numCache>
                <c:formatCode>0.00</c:formatCode>
                <c:ptCount val="1"/>
                <c:pt idx="0">
                  <c:v>0</c:v>
                </c:pt>
              </c:numCache>
            </c:numRef>
          </c:yVal>
          <c:smooth val="0"/>
          <c:extLst>
            <c:ext xmlns:c16="http://schemas.microsoft.com/office/drawing/2014/chart" uri="{C3380CC4-5D6E-409C-BE32-E72D297353CC}">
              <c16:uniqueId val="{00000006-6071-48E2-A3E7-6732A195A1C3}"/>
            </c:ext>
          </c:extLst>
        </c:ser>
        <c:ser>
          <c:idx val="6"/>
          <c:order val="6"/>
          <c:tx>
            <c:strRef>
              <c:f>'Mapa de riesgo'!$T$3</c:f>
              <c:strCache>
                <c:ptCount val="1"/>
                <c:pt idx="0">
                  <c:v>Ge</c:v>
                </c:pt>
              </c:strCache>
            </c:strRef>
          </c:tx>
          <c:spPr>
            <a:ln w="28575">
              <a:noFill/>
            </a:ln>
          </c:spPr>
          <c:marker>
            <c:symbol val="circle"/>
            <c:size val="20"/>
          </c:marker>
          <c:dPt>
            <c:idx val="0"/>
            <c:marker>
              <c:spPr>
                <a:solidFill>
                  <a:srgbClr val="00B0F0"/>
                </a:solidFill>
              </c:spPr>
            </c:marker>
            <c:bubble3D val="0"/>
            <c:extLst>
              <c:ext xmlns:c16="http://schemas.microsoft.com/office/drawing/2014/chart" uri="{C3380CC4-5D6E-409C-BE32-E72D297353CC}">
                <c16:uniqueId val="{00000007-6071-48E2-A3E7-6732A195A1C3}"/>
              </c:ext>
            </c:extLst>
          </c:dPt>
          <c:dLbls>
            <c:dLbl>
              <c:idx val="0"/>
              <c:spPr/>
              <c:txPr>
                <a:bodyPr/>
                <a:lstStyle/>
                <a:p>
                  <a:pPr>
                    <a:defRPr sz="1000" b="1">
                      <a:solidFill>
                        <a:schemeClr val="bg1"/>
                      </a:solidFill>
                    </a:defRPr>
                  </a:pPr>
                  <a:endParaRPr lang="es-CO"/>
                </a:p>
              </c:txPr>
              <c:dLblPos val="ctr"/>
              <c:showLegendKey val="0"/>
              <c:showVal val="0"/>
              <c:showCatName val="0"/>
              <c:showSerName val="1"/>
              <c:showPercent val="0"/>
              <c:showBubbleSize val="0"/>
              <c:extLst>
                <c:ext xmlns:c16="http://schemas.microsoft.com/office/drawing/2014/chart" uri="{C3380CC4-5D6E-409C-BE32-E72D297353CC}">
                  <c16:uniqueId val="{00000007-6071-48E2-A3E7-6732A195A1C3}"/>
                </c:ext>
              </c:extLst>
            </c:dLbl>
            <c:spPr>
              <a:noFill/>
              <a:ln>
                <a:no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'RI Consolidado por FR'!$J$12</c:f>
              <c:numCache>
                <c:formatCode>0.00</c:formatCode>
                <c:ptCount val="1"/>
                <c:pt idx="0">
                  <c:v>2.75</c:v>
                </c:pt>
              </c:numCache>
            </c:numRef>
          </c:xVal>
          <c:yVal>
            <c:numRef>
              <c:f>'RI Consolidado por FR'!$I$12</c:f>
              <c:numCache>
                <c:formatCode>0.00</c:formatCode>
                <c:ptCount val="1"/>
                <c:pt idx="0">
                  <c:v>3</c:v>
                </c:pt>
              </c:numCache>
            </c:numRef>
          </c:yVal>
          <c:smooth val="0"/>
          <c:extLst>
            <c:ext xmlns:c16="http://schemas.microsoft.com/office/drawing/2014/chart" uri="{C3380CC4-5D6E-409C-BE32-E72D297353CC}">
              <c16:uniqueId val="{00000008-6071-48E2-A3E7-6732A195A1C3}"/>
            </c:ext>
          </c:extLst>
        </c:ser>
        <c:ser>
          <c:idx val="7"/>
          <c:order val="7"/>
          <c:tx>
            <c:strRef>
              <c:f>'Mapa de riesgo'!$T$4</c:f>
              <c:strCache>
                <c:ptCount val="1"/>
                <c:pt idx="0">
                  <c:v>Gt</c:v>
                </c:pt>
              </c:strCache>
            </c:strRef>
          </c:tx>
          <c:spPr>
            <a:ln w="28575">
              <a:noFill/>
            </a:ln>
          </c:spPr>
          <c:dPt>
            <c:idx val="0"/>
            <c:marker>
              <c:symbol val="circle"/>
              <c:size val="20"/>
            </c:marker>
            <c:bubble3D val="0"/>
            <c:spPr>
              <a:ln>
                <a:solidFill>
                  <a:schemeClr val="accent1"/>
                </a:solidFill>
              </a:ln>
            </c:spPr>
            <c:extLst>
              <c:ext xmlns:c16="http://schemas.microsoft.com/office/drawing/2014/chart" uri="{C3380CC4-5D6E-409C-BE32-E72D297353CC}">
                <c16:uniqueId val="{0000000A-6071-48E2-A3E7-6732A195A1C3}"/>
              </c:ext>
            </c:extLst>
          </c:dPt>
          <c:dLbls>
            <c:dLbl>
              <c:idx val="0"/>
              <c:spPr/>
              <c:txPr>
                <a:bodyPr/>
                <a:lstStyle/>
                <a:p>
                  <a:pPr>
                    <a:defRPr>
                      <a:solidFill>
                        <a:schemeClr val="bg1"/>
                      </a:solidFill>
                    </a:defRPr>
                  </a:pPr>
                  <a:endParaRPr lang="es-CO"/>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071-48E2-A3E7-6732A195A1C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'RI Consolidado por FR'!$J$13</c:f>
              <c:numCache>
                <c:formatCode>0.00</c:formatCode>
                <c:ptCount val="1"/>
                <c:pt idx="0">
                  <c:v>0</c:v>
                </c:pt>
              </c:numCache>
            </c:numRef>
          </c:xVal>
          <c:yVal>
            <c:numRef>
              <c:f>'RI Consolidado por FR'!$I$13</c:f>
              <c:numCache>
                <c:formatCode>0.00</c:formatCode>
                <c:ptCount val="1"/>
                <c:pt idx="0">
                  <c:v>0</c:v>
                </c:pt>
              </c:numCache>
            </c:numRef>
          </c:yVal>
          <c:smooth val="0"/>
          <c:extLst>
            <c:ext xmlns:c16="http://schemas.microsoft.com/office/drawing/2014/chart" uri="{C3380CC4-5D6E-409C-BE32-E72D297353CC}">
              <c16:uniqueId val="{0000000B-6071-48E2-A3E7-6732A195A1C3}"/>
            </c:ext>
          </c:extLst>
        </c:ser>
        <c:ser>
          <c:idx val="8"/>
          <c:order val="8"/>
          <c:tx>
            <c:strRef>
              <c:f>'Mapa de riesgo'!$W$1</c:f>
              <c:strCache>
                <c:ptCount val="1"/>
              </c:strCache>
            </c:strRef>
          </c:tx>
          <c:spPr>
            <a:ln w="28575">
              <a:noFill/>
            </a:ln>
          </c:spPr>
          <c:dLbls>
            <c:dLbl>
              <c:idx val="0"/>
              <c:spPr>
                <a:ln w="9525"/>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D-08CA-488D-B56B-83683F7781ED}"/>
                </c:ext>
              </c:extLst>
            </c:dLbl>
            <c:spPr>
              <a:ln w="9525"/>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FR'!$J$14</c:f>
              <c:numCache>
                <c:formatCode>0.00</c:formatCode>
                <c:ptCount val="1"/>
                <c:pt idx="0">
                  <c:v>0</c:v>
                </c:pt>
              </c:numCache>
            </c:numRef>
          </c:xVal>
          <c:yVal>
            <c:numRef>
              <c:f>'RI Consolidado por FR'!$I$14</c:f>
              <c:numCache>
                <c:formatCode>0.00</c:formatCode>
                <c:ptCount val="1"/>
                <c:pt idx="0">
                  <c:v>0</c:v>
                </c:pt>
              </c:numCache>
            </c:numRef>
          </c:yVal>
          <c:smooth val="0"/>
          <c:extLst>
            <c:ext xmlns:c16="http://schemas.microsoft.com/office/drawing/2014/chart" uri="{C3380CC4-5D6E-409C-BE32-E72D297353CC}">
              <c16:uniqueId val="{00000005-08CA-488D-B56B-83683F7781ED}"/>
            </c:ext>
          </c:extLst>
        </c:ser>
        <c:ser>
          <c:idx val="9"/>
          <c:order val="9"/>
          <c:tx>
            <c:strRef>
              <c:f>'Mapa de riesgo'!$W$2</c:f>
              <c:strCache>
                <c:ptCount val="1"/>
              </c:strCache>
            </c:strRef>
          </c:tx>
          <c:spPr>
            <a:ln w="28575">
              <a:noFill/>
            </a:ln>
          </c:spPr>
          <c:dLbls>
            <c:dLbl>
              <c:idx val="0"/>
              <c:spPr>
                <a:solidFill>
                  <a:schemeClr val="accent4"/>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F-08CA-488D-B56B-83683F7781ED}"/>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'RI Consolidado por FR'!$J$15</c:f>
              <c:numCache>
                <c:formatCode>0.00</c:formatCode>
                <c:ptCount val="1"/>
                <c:pt idx="0">
                  <c:v>0</c:v>
                </c:pt>
              </c:numCache>
            </c:numRef>
          </c:xVal>
          <c:yVal>
            <c:numRef>
              <c:f>'RI Consolidado por FR'!$I$15</c:f>
              <c:numCache>
                <c:formatCode>0.00</c:formatCode>
                <c:ptCount val="1"/>
                <c:pt idx="0">
                  <c:v>0</c:v>
                </c:pt>
              </c:numCache>
            </c:numRef>
          </c:yVal>
          <c:smooth val="0"/>
          <c:extLst>
            <c:ext xmlns:c16="http://schemas.microsoft.com/office/drawing/2014/chart" uri="{C3380CC4-5D6E-409C-BE32-E72D297353CC}">
              <c16:uniqueId val="{00000006-08CA-488D-B56B-83683F7781ED}"/>
            </c:ext>
          </c:extLst>
        </c:ser>
        <c:ser>
          <c:idx val="10"/>
          <c:order val="10"/>
          <c:tx>
            <c:strRef>
              <c:f>'Mapa de riesgo'!$W$3</c:f>
              <c:strCache>
                <c:ptCount val="1"/>
              </c:strCache>
            </c:strRef>
          </c:tx>
          <c:spPr>
            <a:ln w="28575">
              <a:noFill/>
            </a:ln>
          </c:spPr>
          <c:dLbls>
            <c:dLbl>
              <c:idx val="0"/>
              <c:spPr>
                <a:solidFill>
                  <a:schemeClr val="bg1">
                    <a:lumMod val="50000"/>
                  </a:schemeClr>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0-08CA-488D-B56B-83683F7781ED}"/>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FR'!$J$16</c:f>
              <c:numCache>
                <c:formatCode>0.00</c:formatCode>
                <c:ptCount val="1"/>
                <c:pt idx="0">
                  <c:v>0</c:v>
                </c:pt>
              </c:numCache>
            </c:numRef>
          </c:xVal>
          <c:yVal>
            <c:numRef>
              <c:f>'RI Consolidado por FR'!$I$16</c:f>
              <c:numCache>
                <c:formatCode>0.00</c:formatCode>
                <c:ptCount val="1"/>
                <c:pt idx="0">
                  <c:v>0</c:v>
                </c:pt>
              </c:numCache>
            </c:numRef>
          </c:yVal>
          <c:smooth val="0"/>
          <c:extLst>
            <c:ext xmlns:c16="http://schemas.microsoft.com/office/drawing/2014/chart" uri="{C3380CC4-5D6E-409C-BE32-E72D297353CC}">
              <c16:uniqueId val="{00000008-08CA-488D-B56B-83683F7781ED}"/>
            </c:ext>
          </c:extLst>
        </c:ser>
        <c:ser>
          <c:idx val="11"/>
          <c:order val="11"/>
          <c:tx>
            <c:strRef>
              <c:f>'Mapa de riesgo'!$W$4</c:f>
              <c:strCache>
                <c:ptCount val="1"/>
              </c:strCache>
            </c:strRef>
          </c:tx>
          <c:spPr>
            <a:ln w="28575">
              <a:noFill/>
            </a:ln>
          </c:spPr>
          <c:dLbls>
            <c:dLbl>
              <c:idx val="0"/>
              <c:spPr>
                <a:solidFill>
                  <a:schemeClr val="accent2"/>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1-08CA-488D-B56B-83683F7781ED}"/>
                </c:ext>
              </c:extLst>
            </c:dLbl>
            <c:spPr>
              <a:solidFill>
                <a:schemeClr val="accent2"/>
              </a:solidFill>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FR'!$J$17</c:f>
              <c:numCache>
                <c:formatCode>0.00</c:formatCode>
                <c:ptCount val="1"/>
                <c:pt idx="0">
                  <c:v>3.5</c:v>
                </c:pt>
              </c:numCache>
            </c:numRef>
          </c:xVal>
          <c:yVal>
            <c:numRef>
              <c:f>'RI Consolidado por FR'!$I$17</c:f>
              <c:numCache>
                <c:formatCode>0.00</c:formatCode>
                <c:ptCount val="1"/>
                <c:pt idx="0">
                  <c:v>3.5</c:v>
                </c:pt>
              </c:numCache>
            </c:numRef>
          </c:yVal>
          <c:smooth val="0"/>
          <c:extLst>
            <c:ext xmlns:c16="http://schemas.microsoft.com/office/drawing/2014/chart" uri="{C3380CC4-5D6E-409C-BE32-E72D297353CC}">
              <c16:uniqueId val="{00000009-08CA-488D-B56B-83683F7781ED}"/>
            </c:ext>
          </c:extLst>
        </c:ser>
        <c:ser>
          <c:idx val="12"/>
          <c:order val="12"/>
          <c:tx>
            <c:strRef>
              <c:f>'Mapa de riesgo'!$Z$1</c:f>
              <c:strCache>
                <c:ptCount val="1"/>
                <c:pt idx="0">
                  <c:v>Gestión Documental</c:v>
                </c:pt>
              </c:strCache>
            </c:strRef>
          </c:tx>
          <c:spPr>
            <a:ln w="28575">
              <a:noFill/>
            </a:ln>
          </c:spPr>
          <c:dLbls>
            <c:dLbl>
              <c:idx val="0"/>
              <c:spPr>
                <a:solidFill>
                  <a:schemeClr val="accent3"/>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flowChartConnector">
                      <a:avLst/>
                    </a:prstGeom>
                  </c15:spPr>
                </c:ext>
                <c:ext xmlns:c16="http://schemas.microsoft.com/office/drawing/2014/chart" uri="{C3380CC4-5D6E-409C-BE32-E72D297353CC}">
                  <c16:uniqueId val="{0000000E-08CA-488D-B56B-83683F7781ED}"/>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flowChartConnector">
                    <a:avLst/>
                  </a:prstGeom>
                </c15:spPr>
                <c15:showLeaderLines val="0"/>
              </c:ext>
            </c:extLst>
          </c:dLbls>
          <c:xVal>
            <c:numRef>
              <c:f>'RI Consolidado por FR'!$J$18</c:f>
              <c:numCache>
                <c:formatCode>0.00</c:formatCode>
                <c:ptCount val="1"/>
                <c:pt idx="0">
                  <c:v>3.333333333333333</c:v>
                </c:pt>
              </c:numCache>
            </c:numRef>
          </c:xVal>
          <c:yVal>
            <c:numRef>
              <c:f>'RI Consolidado por FR'!$I$18</c:f>
              <c:numCache>
                <c:formatCode>0.00</c:formatCode>
                <c:ptCount val="1"/>
                <c:pt idx="0">
                  <c:v>2</c:v>
                </c:pt>
              </c:numCache>
            </c:numRef>
          </c:yVal>
          <c:smooth val="0"/>
          <c:extLst>
            <c:ext xmlns:c16="http://schemas.microsoft.com/office/drawing/2014/chart" uri="{C3380CC4-5D6E-409C-BE32-E72D297353CC}">
              <c16:uniqueId val="{0000000A-08CA-488D-B56B-83683F7781ED}"/>
            </c:ext>
          </c:extLst>
        </c:ser>
        <c:ser>
          <c:idx val="13"/>
          <c:order val="13"/>
          <c:tx>
            <c:strRef>
              <c:f>'Mapa de riesgo'!$Z$2</c:f>
              <c:strCache>
                <c:ptCount val="1"/>
                <c:pt idx="0">
                  <c:v>Control Inspección y Fiscalización</c:v>
                </c:pt>
              </c:strCache>
            </c:strRef>
          </c:tx>
          <c:spPr>
            <a:ln w="28575">
              <a:noFill/>
            </a:ln>
          </c:spPr>
          <c:dLbls>
            <c:dLbl>
              <c:idx val="0"/>
              <c:spPr>
                <a:solidFill>
                  <a:schemeClr val="accent6">
                    <a:lumMod val="50000"/>
                  </a:schemeClr>
                </a:solidFill>
              </c:spPr>
              <c:txPr>
                <a:bodyPr/>
                <a:lstStyle/>
                <a:p>
                  <a:pPr>
                    <a:defRPr sz="900" b="1">
                      <a:solidFill>
                        <a:schemeClr val="bg1"/>
                      </a:solidFill>
                    </a:defRPr>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2-08CA-488D-B56B-83683F7781ED}"/>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FR'!$J$19</c:f>
              <c:numCache>
                <c:formatCode>0.00</c:formatCode>
                <c:ptCount val="1"/>
                <c:pt idx="0">
                  <c:v>0</c:v>
                </c:pt>
              </c:numCache>
            </c:numRef>
          </c:xVal>
          <c:yVal>
            <c:numRef>
              <c:f>'RI Consolidado por FR'!$I$19</c:f>
              <c:numCache>
                <c:formatCode>0.00</c:formatCode>
                <c:ptCount val="1"/>
                <c:pt idx="0">
                  <c:v>0</c:v>
                </c:pt>
              </c:numCache>
            </c:numRef>
          </c:yVal>
          <c:smooth val="0"/>
          <c:extLst>
            <c:ext xmlns:c16="http://schemas.microsoft.com/office/drawing/2014/chart" uri="{C3380CC4-5D6E-409C-BE32-E72D297353CC}">
              <c16:uniqueId val="{0000000B-08CA-488D-B56B-83683F7781ED}"/>
            </c:ext>
          </c:extLst>
        </c:ser>
        <c:ser>
          <c:idx val="14"/>
          <c:order val="14"/>
          <c:tx>
            <c:strRef>
              <c:f>'Mapa de riesgo'!$Z$3</c:f>
              <c:strCache>
                <c:ptCount val="1"/>
                <c:pt idx="0">
                  <c:v>Gestión Jurídica</c:v>
                </c:pt>
              </c:strCache>
            </c:strRef>
          </c:tx>
          <c:spPr>
            <a:ln w="28575">
              <a:noFill/>
            </a:ln>
          </c:spPr>
          <c:dLbls>
            <c:dLbl>
              <c:idx val="0"/>
              <c:spPr>
                <a:solidFill>
                  <a:schemeClr val="accent1">
                    <a:lumMod val="40000"/>
                    <a:lumOff val="60000"/>
                  </a:schemeClr>
                </a:solidFill>
              </c:spPr>
              <c:txPr>
                <a:bodyPr/>
                <a:lstStyle/>
                <a:p>
                  <a:pPr>
                    <a:defRPr sz="6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3-08CA-488D-B56B-83683F7781ED}"/>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'RI Consolidado por FR'!$J$20</c:f>
              <c:numCache>
                <c:formatCode>0.00</c:formatCode>
                <c:ptCount val="1"/>
                <c:pt idx="0">
                  <c:v>0</c:v>
                </c:pt>
              </c:numCache>
            </c:numRef>
          </c:xVal>
          <c:yVal>
            <c:numRef>
              <c:f>'RI Consolidado por FR'!$I$20</c:f>
              <c:numCache>
                <c:formatCode>0.00</c:formatCode>
                <c:ptCount val="1"/>
                <c:pt idx="0">
                  <c:v>0</c:v>
                </c:pt>
              </c:numCache>
            </c:numRef>
          </c:yVal>
          <c:smooth val="0"/>
          <c:extLst>
            <c:ext xmlns:c16="http://schemas.microsoft.com/office/drawing/2014/chart" uri="{C3380CC4-5D6E-409C-BE32-E72D297353CC}">
              <c16:uniqueId val="{0000000C-08CA-488D-B56B-83683F7781ED}"/>
            </c:ext>
          </c:extLst>
        </c:ser>
        <c:dLbls>
          <c:showLegendKey val="0"/>
          <c:showVal val="0"/>
          <c:showCatName val="0"/>
          <c:showSerName val="0"/>
          <c:showPercent val="0"/>
          <c:showBubbleSize val="0"/>
        </c:dLbls>
        <c:axId val="-83949296"/>
        <c:axId val="-83949840"/>
      </c:scatterChart>
      <c:valAx>
        <c:axId val="-83949296"/>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9840"/>
        <c:crosses val="autoZero"/>
        <c:crossBetween val="midCat"/>
        <c:majorUnit val="0.5"/>
      </c:valAx>
      <c:valAx>
        <c:axId val="-83949840"/>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9296"/>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residual</a:t>
            </a:r>
          </a:p>
        </c:rich>
      </c:tx>
      <c:layout/>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2"/>
          <c:order val="0"/>
          <c:tx>
            <c:v>RR</c:v>
          </c:tx>
          <c:spPr>
            <a:ln w="28575">
              <a:noFill/>
            </a:ln>
          </c:spPr>
          <c:marker>
            <c:symbol val="circle"/>
            <c:size val="21"/>
            <c:spPr>
              <a:solidFill>
                <a:schemeClr val="bg1"/>
              </a:solidFill>
            </c:spPr>
          </c:marker>
          <c:dLbls>
            <c:spPr>
              <a:noFill/>
              <a:ln>
                <a:noFill/>
              </a:ln>
              <a:effectLst/>
            </c:spPr>
            <c:txPr>
              <a:bodyPr/>
              <a:lstStyle/>
              <a:p>
                <a:pPr>
                  <a:defRPr sz="1400"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 R'!$AE$3</c:f>
              <c:numCache>
                <c:formatCode>0.00</c:formatCode>
                <c:ptCount val="1"/>
                <c:pt idx="0">
                  <c:v>1.5333333333333334</c:v>
                </c:pt>
              </c:numCache>
            </c:numRef>
          </c:xVal>
          <c:yVal>
            <c:numRef>
              <c:f>'R R'!$AD$3</c:f>
              <c:numCache>
                <c:formatCode>0.00</c:formatCode>
                <c:ptCount val="1"/>
                <c:pt idx="0">
                  <c:v>1.3333333333333333</c:v>
                </c:pt>
              </c:numCache>
            </c:numRef>
          </c:yVal>
          <c:smooth val="0"/>
          <c:extLst>
            <c:ext xmlns:c16="http://schemas.microsoft.com/office/drawing/2014/chart" uri="{C3380CC4-5D6E-409C-BE32-E72D297353CC}">
              <c16:uniqueId val="{00000000-12E3-4DC6-9B82-7EA5596EF3EC}"/>
            </c:ext>
          </c:extLst>
        </c:ser>
        <c:dLbls>
          <c:showLegendKey val="0"/>
          <c:showVal val="0"/>
          <c:showCatName val="0"/>
          <c:showSerName val="0"/>
          <c:showPercent val="0"/>
          <c:showBubbleSize val="0"/>
        </c:dLbls>
        <c:axId val="-83953648"/>
        <c:axId val="-83950928"/>
      </c:scatterChart>
      <c:valAx>
        <c:axId val="-83953648"/>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50928"/>
        <c:crosses val="autoZero"/>
        <c:crossBetween val="midCat"/>
        <c:majorUnit val="0.5"/>
      </c:valAx>
      <c:valAx>
        <c:axId val="-8395092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53648"/>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a:t>
            </a:r>
            <a:r>
              <a:rPr lang="en-US" sz="1800" b="1" i="0" u="none" strike="noStrike" baseline="0">
                <a:effectLst/>
              </a:rPr>
              <a:t>residual </a:t>
            </a:r>
            <a:r>
              <a:rPr lang="en-US">
                <a:latin typeface="Candara" panose="020E0502030303020204" pitchFamily="34" charset="0"/>
              </a:rPr>
              <a:t>por factor de riesgo</a:t>
            </a:r>
          </a:p>
        </c:rich>
      </c:tx>
      <c:layout/>
      <c:overlay val="1"/>
    </c:title>
    <c:autoTitleDeleted val="0"/>
    <c:plotArea>
      <c:layout>
        <c:manualLayout>
          <c:layoutTarget val="inner"/>
          <c:xMode val="edge"/>
          <c:yMode val="edge"/>
          <c:x val="9.7565195273607616E-2"/>
          <c:y val="0.10108798707853826"/>
          <c:w val="0.87429977083632382"/>
          <c:h val="0.80337411669695136"/>
        </c:manualLayout>
      </c:layout>
      <c:scatterChart>
        <c:scatterStyle val="lineMarker"/>
        <c:varyColors val="0"/>
        <c:ser>
          <c:idx val="0"/>
          <c:order val="0"/>
          <c:tx>
            <c:strRef>
              <c:f>'Mapa de riesgo'!$I$34</c:f>
              <c:strCache>
                <c:ptCount val="1"/>
                <c:pt idx="0">
                  <c:v>P</c:v>
                </c:pt>
              </c:strCache>
            </c:strRef>
          </c:tx>
          <c:spPr>
            <a:ln w="28575">
              <a:solidFill>
                <a:schemeClr val="tx1"/>
              </a:solidFill>
            </a:ln>
          </c:spPr>
          <c:marker>
            <c:symbol val="circle"/>
            <c:size val="21"/>
            <c:spPr>
              <a:solidFill>
                <a:schemeClr val="tx1"/>
              </a:solidFill>
              <a:ln>
                <a:solidFill>
                  <a:schemeClr val="tx1"/>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FR'!$D$6</c:f>
              <c:numCache>
                <c:formatCode>0.00</c:formatCode>
                <c:ptCount val="1"/>
                <c:pt idx="0">
                  <c:v>1</c:v>
                </c:pt>
              </c:numCache>
            </c:numRef>
          </c:xVal>
          <c:yVal>
            <c:numRef>
              <c:f>'RR Consolidado por FR'!$C$6</c:f>
              <c:numCache>
                <c:formatCode>0.00</c:formatCode>
                <c:ptCount val="1"/>
                <c:pt idx="0">
                  <c:v>1</c:v>
                </c:pt>
              </c:numCache>
            </c:numRef>
          </c:yVal>
          <c:smooth val="0"/>
          <c:extLst>
            <c:ext xmlns:c16="http://schemas.microsoft.com/office/drawing/2014/chart" uri="{C3380CC4-5D6E-409C-BE32-E72D297353CC}">
              <c16:uniqueId val="{00000000-6ECA-47F3-A4CF-6EBCAB6931FE}"/>
            </c:ext>
          </c:extLst>
        </c:ser>
        <c:ser>
          <c:idx val="1"/>
          <c:order val="1"/>
          <c:tx>
            <c:strRef>
              <c:f>'Mapa de riesgo'!$I$35</c:f>
              <c:strCache>
                <c:ptCount val="1"/>
                <c:pt idx="0">
                  <c:v>C</c:v>
                </c:pt>
              </c:strCache>
            </c:strRef>
          </c:tx>
          <c:spPr>
            <a:ln w="28575">
              <a:noFill/>
            </a:ln>
          </c:spPr>
          <c:marker>
            <c:symbol val="circle"/>
            <c:size val="21"/>
            <c:spPr>
              <a:solidFill>
                <a:srgbClr val="6F2927"/>
              </a:solidFill>
              <a:ln>
                <a:solidFill>
                  <a:srgbClr val="6F2927"/>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FR'!$D$7</c:f>
              <c:numCache>
                <c:formatCode>0.00</c:formatCode>
                <c:ptCount val="1"/>
                <c:pt idx="0">
                  <c:v>2.25</c:v>
                </c:pt>
              </c:numCache>
            </c:numRef>
          </c:xVal>
          <c:yVal>
            <c:numRef>
              <c:f>'RR Consolidado por FR'!$C$7</c:f>
              <c:numCache>
                <c:formatCode>0.00</c:formatCode>
                <c:ptCount val="1"/>
                <c:pt idx="0">
                  <c:v>1.5</c:v>
                </c:pt>
              </c:numCache>
            </c:numRef>
          </c:yVal>
          <c:smooth val="0"/>
          <c:extLst>
            <c:ext xmlns:c16="http://schemas.microsoft.com/office/drawing/2014/chart" uri="{C3380CC4-5D6E-409C-BE32-E72D297353CC}">
              <c16:uniqueId val="{00000001-6ECA-47F3-A4CF-6EBCAB6931FE}"/>
            </c:ext>
          </c:extLst>
        </c:ser>
        <c:ser>
          <c:idx val="2"/>
          <c:order val="2"/>
          <c:tx>
            <c:strRef>
              <c:f>'Mapa de riesgo'!$I$36</c:f>
              <c:strCache>
                <c:ptCount val="1"/>
                <c:pt idx="0">
                  <c:v>J</c:v>
                </c:pt>
              </c:strCache>
            </c:strRef>
          </c:tx>
          <c:spPr>
            <a:ln w="28575">
              <a:noFill/>
            </a:ln>
          </c:spPr>
          <c:marker>
            <c:symbol val="circle"/>
            <c:size val="20"/>
            <c:spPr>
              <a:solidFill>
                <a:srgbClr val="002060"/>
              </a:solidFill>
              <a:ln>
                <a:solidFill>
                  <a:srgbClr val="002060"/>
                </a:solidFill>
              </a:ln>
            </c:spPr>
          </c:marker>
          <c:dLbls>
            <c:spPr>
              <a:noFill/>
              <a:ln>
                <a:noFill/>
              </a:ln>
              <a:effectLst/>
            </c:spPr>
            <c:txPr>
              <a:bodyPr/>
              <a:lstStyle/>
              <a:p>
                <a:pPr>
                  <a:defRPr sz="12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2-6ECA-47F3-A4CF-6EBCAB6931FE}"/>
            </c:ext>
          </c:extLst>
        </c:ser>
        <c:ser>
          <c:idx val="3"/>
          <c:order val="3"/>
          <c:tx>
            <c:strRef>
              <c:f>'Mapa de riesgo'!$I$37</c:f>
              <c:strCache>
                <c:ptCount val="1"/>
                <c:pt idx="0">
                  <c:v>S</c:v>
                </c:pt>
              </c:strCache>
            </c:strRef>
          </c:tx>
          <c:spPr>
            <a:ln>
              <a:solidFill>
                <a:schemeClr val="accent1"/>
              </a:solidFill>
            </a:ln>
          </c:spPr>
          <c:marker>
            <c:symbol val="circle"/>
            <c:size val="20"/>
            <c:spPr>
              <a:solidFill>
                <a:schemeClr val="tx2">
                  <a:lumMod val="60000"/>
                  <a:lumOff val="40000"/>
                </a:schemeClr>
              </a:solidFill>
            </c:spPr>
          </c:marker>
          <c:dLbls>
            <c:spPr>
              <a:noFill/>
              <a:ln>
                <a:noFill/>
              </a:ln>
              <a:effectLst/>
            </c:spPr>
            <c:txPr>
              <a:bodyPr/>
              <a:lstStyle/>
              <a:p>
                <a:pPr>
                  <a:defRPr sz="14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FR'!$D$8</c:f>
              <c:numCache>
                <c:formatCode>0.00</c:formatCode>
                <c:ptCount val="1"/>
                <c:pt idx="0">
                  <c:v>0.7</c:v>
                </c:pt>
              </c:numCache>
            </c:numRef>
          </c:xVal>
          <c:yVal>
            <c:numRef>
              <c:f>'RR Consolidado por FR'!$C$8</c:f>
              <c:numCache>
                <c:formatCode>0.00</c:formatCode>
                <c:ptCount val="1"/>
                <c:pt idx="0">
                  <c:v>0.7</c:v>
                </c:pt>
              </c:numCache>
            </c:numRef>
          </c:yVal>
          <c:smooth val="0"/>
          <c:extLst>
            <c:ext xmlns:c16="http://schemas.microsoft.com/office/drawing/2014/chart" uri="{C3380CC4-5D6E-409C-BE32-E72D297353CC}">
              <c16:uniqueId val="{00000003-6ECA-47F3-A4CF-6EBCAB6931FE}"/>
            </c:ext>
          </c:extLst>
        </c:ser>
        <c:ser>
          <c:idx val="4"/>
          <c:order val="4"/>
          <c:tx>
            <c:strRef>
              <c:f>'Mapa de riesgo'!$L$34</c:f>
              <c:strCache>
                <c:ptCount val="1"/>
                <c:pt idx="0">
                  <c:v>Cl</c:v>
                </c:pt>
              </c:strCache>
            </c:strRef>
          </c:tx>
          <c:dLbls>
            <c:dLbl>
              <c:idx val="0"/>
              <c:spPr>
                <a:solidFill>
                  <a:schemeClr val="accent4"/>
                </a:solidFill>
              </c:spPr>
              <c:txPr>
                <a:bodyPr/>
                <a:lstStyle/>
                <a:p>
                  <a:pPr>
                    <a:defRPr sz="8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4-DCDE-46E5-9E52-AFD410E59900}"/>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FR'!$D$9</c:f>
              <c:numCache>
                <c:formatCode>0.00</c:formatCode>
                <c:ptCount val="1"/>
                <c:pt idx="0">
                  <c:v>1.6666666666666667</c:v>
                </c:pt>
              </c:numCache>
            </c:numRef>
          </c:xVal>
          <c:yVal>
            <c:numRef>
              <c:f>'RR Consolidado por FR'!$C$9</c:f>
              <c:numCache>
                <c:formatCode>0.00</c:formatCode>
                <c:ptCount val="1"/>
                <c:pt idx="0">
                  <c:v>1.3333333333333333</c:v>
                </c:pt>
              </c:numCache>
            </c:numRef>
          </c:yVal>
          <c:smooth val="0"/>
          <c:extLst>
            <c:ext xmlns:c16="http://schemas.microsoft.com/office/drawing/2014/chart" uri="{C3380CC4-5D6E-409C-BE32-E72D297353CC}">
              <c16:uniqueId val="{00000001-DCDE-46E5-9E52-AFD410E59900}"/>
            </c:ext>
          </c:extLst>
        </c:ser>
        <c:ser>
          <c:idx val="5"/>
          <c:order val="5"/>
          <c:tx>
            <c:strRef>
              <c:f>'Mapa de riesgo'!$L$35</c:f>
              <c:strCache>
                <c:ptCount val="1"/>
                <c:pt idx="0">
                  <c:v>Di</c:v>
                </c:pt>
              </c:strCache>
            </c:strRef>
          </c:tx>
          <c:dLbls>
            <c:dLbl>
              <c:idx val="0"/>
              <c:spPr>
                <a:solidFill>
                  <a:schemeClr val="accent3"/>
                </a:solidFill>
              </c:spPr>
              <c:txPr>
                <a:bodyPr/>
                <a:lstStyle/>
                <a:p>
                  <a:pPr>
                    <a:defRPr sz="8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5-DCDE-46E5-9E52-AFD410E59900}"/>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FR'!$D$10</c:f>
              <c:numCache>
                <c:formatCode>0.00</c:formatCode>
                <c:ptCount val="1"/>
                <c:pt idx="0">
                  <c:v>6.666666666666667</c:v>
                </c:pt>
              </c:numCache>
            </c:numRef>
          </c:xVal>
          <c:yVal>
            <c:numRef>
              <c:f>'RR Consolidado por FR'!$C$10</c:f>
              <c:numCache>
                <c:formatCode>0.00</c:formatCode>
                <c:ptCount val="1"/>
                <c:pt idx="0">
                  <c:v>3</c:v>
                </c:pt>
              </c:numCache>
            </c:numRef>
          </c:yVal>
          <c:smooth val="0"/>
          <c:extLst>
            <c:ext xmlns:c16="http://schemas.microsoft.com/office/drawing/2014/chart" uri="{C3380CC4-5D6E-409C-BE32-E72D297353CC}">
              <c16:uniqueId val="{00000002-DCDE-46E5-9E52-AFD410E59900}"/>
            </c:ext>
          </c:extLst>
        </c:ser>
        <c:ser>
          <c:idx val="6"/>
          <c:order val="6"/>
          <c:tx>
            <c:strRef>
              <c:f>'Mapa de riesgo'!$L$36</c:f>
              <c:strCache>
                <c:ptCount val="1"/>
                <c:pt idx="0">
                  <c:v>Co</c:v>
                </c:pt>
              </c:strCache>
            </c:strRef>
          </c:tx>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3-DCDE-46E5-9E52-AFD410E59900}"/>
            </c:ext>
          </c:extLst>
        </c:ser>
        <c:dLbls>
          <c:showLegendKey val="0"/>
          <c:showVal val="0"/>
          <c:showCatName val="0"/>
          <c:showSerName val="0"/>
          <c:showPercent val="0"/>
          <c:showBubbleSize val="0"/>
        </c:dLbls>
        <c:axId val="-83940592"/>
        <c:axId val="-83940048"/>
      </c:scatterChart>
      <c:valAx>
        <c:axId val="-83940592"/>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0048"/>
        <c:crosses val="autoZero"/>
        <c:crossBetween val="midCat"/>
        <c:majorUnit val="0.5"/>
      </c:valAx>
      <c:valAx>
        <c:axId val="-8394004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83940592"/>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Candara" panose="020E0502030303020204" pitchFamily="34" charset="0"/>
              </a:defRPr>
            </a:pPr>
            <a:r>
              <a:rPr lang="en-US">
                <a:latin typeface="Candara" panose="020E0502030303020204" pitchFamily="34" charset="0"/>
              </a:rPr>
              <a:t>Riesgo </a:t>
            </a:r>
            <a:r>
              <a:rPr lang="en-US" sz="1800" b="1" i="0" u="none" strike="noStrike" baseline="0">
                <a:effectLst/>
              </a:rPr>
              <a:t>residual </a:t>
            </a:r>
            <a:r>
              <a:rPr lang="en-US">
                <a:latin typeface="Candara" panose="020E0502030303020204" pitchFamily="34" charset="0"/>
              </a:rPr>
              <a:t>por proceso/área de práctica</a:t>
            </a:r>
          </a:p>
        </c:rich>
      </c:tx>
      <c:layout>
        <c:manualLayout>
          <c:xMode val="edge"/>
          <c:yMode val="edge"/>
          <c:x val="0.19994364471352513"/>
          <c:y val="1.3545484777968173E-2"/>
        </c:manualLayout>
      </c:layout>
      <c:overlay val="1"/>
    </c:title>
    <c:autoTitleDeleted val="0"/>
    <c:plotArea>
      <c:layout>
        <c:manualLayout>
          <c:layoutTarget val="inner"/>
          <c:xMode val="edge"/>
          <c:yMode val="edge"/>
          <c:x val="8.9250421508290143E-2"/>
          <c:y val="0.10108798707853826"/>
          <c:w val="0.87429977083632382"/>
          <c:h val="0.80337411669695136"/>
        </c:manualLayout>
      </c:layout>
      <c:scatterChart>
        <c:scatterStyle val="lineMarker"/>
        <c:varyColors val="0"/>
        <c:ser>
          <c:idx val="0"/>
          <c:order val="0"/>
          <c:tx>
            <c:strRef>
              <c:f>'Mapa de riesgo'!$Q$34</c:f>
              <c:strCache>
                <c:ptCount val="1"/>
                <c:pt idx="0">
                  <c:v>Co</c:v>
                </c:pt>
              </c:strCache>
            </c:strRef>
          </c:tx>
          <c:spPr>
            <a:ln w="28575">
              <a:noFill/>
            </a:ln>
          </c:spPr>
          <c:marker>
            <c:symbol val="circle"/>
            <c:size val="19"/>
            <c:spPr>
              <a:solidFill>
                <a:schemeClr val="tx2">
                  <a:lumMod val="75000"/>
                </a:schemeClr>
              </a:solidFill>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FR'!$J$6</c:f>
              <c:numCache>
                <c:formatCode>0.00</c:formatCode>
                <c:ptCount val="1"/>
                <c:pt idx="0">
                  <c:v>0</c:v>
                </c:pt>
              </c:numCache>
            </c:numRef>
          </c:xVal>
          <c:yVal>
            <c:numRef>
              <c:f>'RR Consolidado por FR'!$I$6</c:f>
              <c:numCache>
                <c:formatCode>0.00</c:formatCode>
                <c:ptCount val="1"/>
                <c:pt idx="0">
                  <c:v>0</c:v>
                </c:pt>
              </c:numCache>
            </c:numRef>
          </c:yVal>
          <c:smooth val="0"/>
          <c:extLst>
            <c:ext xmlns:c16="http://schemas.microsoft.com/office/drawing/2014/chart" uri="{C3380CC4-5D6E-409C-BE32-E72D297353CC}">
              <c16:uniqueId val="{00000000-C6F6-4C23-B438-58EFA5156D82}"/>
            </c:ext>
          </c:extLst>
        </c:ser>
        <c:ser>
          <c:idx val="1"/>
          <c:order val="1"/>
          <c:tx>
            <c:strRef>
              <c:f>'Mapa de riesgo'!$Q$35</c:f>
              <c:strCache>
                <c:ptCount val="1"/>
                <c:pt idx="0">
                  <c:v>Gs</c:v>
                </c:pt>
              </c:strCache>
            </c:strRef>
          </c:tx>
          <c:spPr>
            <a:ln w="28575">
              <a:noFill/>
            </a:ln>
          </c:spPr>
          <c:marker>
            <c:symbol val="circle"/>
            <c:size val="18"/>
          </c:marker>
          <c:dPt>
            <c:idx val="0"/>
            <c:marker>
              <c:spPr>
                <a:solidFill>
                  <a:schemeClr val="tx1"/>
                </a:solidFill>
                <a:ln>
                  <a:solidFill>
                    <a:schemeClr val="tx1"/>
                  </a:solidFill>
                </a:ln>
              </c:spPr>
            </c:marker>
            <c:bubble3D val="0"/>
            <c:extLst>
              <c:ext xmlns:c16="http://schemas.microsoft.com/office/drawing/2014/chart" uri="{C3380CC4-5D6E-409C-BE32-E72D297353CC}">
                <c16:uniqueId val="{00000001-C6F6-4C23-B438-58EFA5156D82}"/>
              </c:ext>
            </c:extLst>
          </c:dPt>
          <c:dLbls>
            <c:spPr>
              <a:noFill/>
              <a:ln>
                <a:noFill/>
              </a:ln>
              <a:effectLst/>
            </c:spPr>
            <c:txPr>
              <a:bodyPr/>
              <a:lstStyle/>
              <a:p>
                <a:pPr>
                  <a:defRPr sz="10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FR'!$J$7</c:f>
              <c:numCache>
                <c:formatCode>0.00</c:formatCode>
                <c:ptCount val="1"/>
                <c:pt idx="0">
                  <c:v>1</c:v>
                </c:pt>
              </c:numCache>
            </c:numRef>
          </c:xVal>
          <c:yVal>
            <c:numRef>
              <c:f>'RR Consolidado por FR'!$I$7</c:f>
              <c:numCache>
                <c:formatCode>0.00</c:formatCode>
                <c:ptCount val="1"/>
                <c:pt idx="0">
                  <c:v>0.66666666666666663</c:v>
                </c:pt>
              </c:numCache>
            </c:numRef>
          </c:yVal>
          <c:smooth val="0"/>
          <c:extLst>
            <c:ext xmlns:c16="http://schemas.microsoft.com/office/drawing/2014/chart" uri="{C3380CC4-5D6E-409C-BE32-E72D297353CC}">
              <c16:uniqueId val="{00000002-C6F6-4C23-B438-58EFA5156D82}"/>
            </c:ext>
          </c:extLst>
        </c:ser>
        <c:ser>
          <c:idx val="2"/>
          <c:order val="2"/>
          <c:tx>
            <c:strRef>
              <c:f>'Mapa de riesgo'!$Q$36</c:f>
              <c:strCache>
                <c:ptCount val="1"/>
                <c:pt idx="0">
                  <c:v>El</c:v>
                </c:pt>
              </c:strCache>
            </c:strRef>
          </c:tx>
          <c:spPr>
            <a:ln w="28575">
              <a:noFill/>
            </a:ln>
          </c:spPr>
          <c:marker>
            <c:symbol val="circle"/>
            <c:size val="18"/>
            <c:spPr>
              <a:solidFill>
                <a:schemeClr val="accent2">
                  <a:lumMod val="75000"/>
                </a:schemeClr>
              </a:solidFill>
              <a:ln>
                <a:solidFill>
                  <a:srgbClr val="6F2927"/>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FR'!$J$8</c:f>
              <c:numCache>
                <c:formatCode>0.00</c:formatCode>
                <c:ptCount val="1"/>
                <c:pt idx="0">
                  <c:v>0</c:v>
                </c:pt>
              </c:numCache>
            </c:numRef>
          </c:xVal>
          <c:yVal>
            <c:numRef>
              <c:f>'RR Consolidado por FR'!$I$8</c:f>
              <c:numCache>
                <c:formatCode>0.00</c:formatCode>
                <c:ptCount val="1"/>
                <c:pt idx="0">
                  <c:v>0</c:v>
                </c:pt>
              </c:numCache>
            </c:numRef>
          </c:yVal>
          <c:smooth val="0"/>
          <c:extLst>
            <c:ext xmlns:c16="http://schemas.microsoft.com/office/drawing/2014/chart" uri="{C3380CC4-5D6E-409C-BE32-E72D297353CC}">
              <c16:uniqueId val="{00000003-C6F6-4C23-B438-58EFA5156D82}"/>
            </c:ext>
          </c:extLst>
        </c:ser>
        <c:ser>
          <c:idx val="3"/>
          <c:order val="3"/>
          <c:tx>
            <c:strRef>
              <c:f>'Mapa de riesgo'!$Q$37</c:f>
              <c:strCache>
                <c:ptCount val="1"/>
                <c:pt idx="0">
                  <c:v>At</c:v>
                </c:pt>
              </c:strCache>
            </c:strRef>
          </c:tx>
          <c:spPr>
            <a:ln w="28575">
              <a:noFill/>
            </a:ln>
          </c:spPr>
          <c:marker>
            <c:symbol val="circle"/>
            <c:size val="18"/>
            <c:spPr>
              <a:ln>
                <a:solidFill>
                  <a:srgbClr val="7030A0"/>
                </a:solidFill>
              </a:ln>
            </c:spPr>
          </c:marker>
          <c:dLbls>
            <c:spPr>
              <a:noFill/>
              <a:ln>
                <a:noFill/>
              </a:ln>
              <a:effectLst/>
            </c:spPr>
            <c:txPr>
              <a:bodyPr/>
              <a:lstStyle/>
              <a:p>
                <a:pPr>
                  <a:defRPr>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FR'!$J$9</c:f>
              <c:numCache>
                <c:formatCode>0.00</c:formatCode>
                <c:ptCount val="1"/>
                <c:pt idx="0">
                  <c:v>0</c:v>
                </c:pt>
              </c:numCache>
            </c:numRef>
          </c:xVal>
          <c:yVal>
            <c:numRef>
              <c:f>'RR Consolidado por FR'!$I$9</c:f>
              <c:numCache>
                <c:formatCode>0.00</c:formatCode>
                <c:ptCount val="1"/>
                <c:pt idx="0">
                  <c:v>0</c:v>
                </c:pt>
              </c:numCache>
            </c:numRef>
          </c:yVal>
          <c:smooth val="0"/>
          <c:extLst>
            <c:ext xmlns:c16="http://schemas.microsoft.com/office/drawing/2014/chart" uri="{C3380CC4-5D6E-409C-BE32-E72D297353CC}">
              <c16:uniqueId val="{00000004-C6F6-4C23-B438-58EFA5156D82}"/>
            </c:ext>
          </c:extLst>
        </c:ser>
        <c:ser>
          <c:idx val="4"/>
          <c:order val="4"/>
          <c:tx>
            <c:strRef>
              <c:f>'Mapa de riesgo'!$T$34</c:f>
              <c:strCache>
                <c:ptCount val="1"/>
                <c:pt idx="0">
                  <c:v>Eó</c:v>
                </c:pt>
              </c:strCache>
            </c:strRef>
          </c:tx>
          <c:spPr>
            <a:ln w="28575">
              <a:solidFill>
                <a:schemeClr val="bg2">
                  <a:lumMod val="75000"/>
                </a:schemeClr>
              </a:solidFill>
            </a:ln>
          </c:spPr>
          <c:marker>
            <c:symbol val="circle"/>
            <c:size val="20"/>
            <c:spPr>
              <a:solidFill>
                <a:schemeClr val="bg2">
                  <a:lumMod val="75000"/>
                </a:schemeClr>
              </a:solidFill>
              <a:ln>
                <a:solidFill>
                  <a:schemeClr val="bg2">
                    <a:lumMod val="75000"/>
                  </a:schemeClr>
                </a:solidFill>
              </a:ln>
            </c:spPr>
          </c:marker>
          <c:dLbls>
            <c:spPr>
              <a:noFill/>
              <a:ln>
                <a:noFill/>
              </a:ln>
              <a:effectLst/>
            </c:spPr>
            <c:txPr>
              <a:bodyPr/>
              <a:lstStyle/>
              <a:p>
                <a:pPr>
                  <a:defRPr sz="1050"/>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FR'!$J$10</c:f>
              <c:numCache>
                <c:formatCode>0.00</c:formatCode>
                <c:ptCount val="1"/>
                <c:pt idx="0">
                  <c:v>2</c:v>
                </c:pt>
              </c:numCache>
            </c:numRef>
          </c:xVal>
          <c:yVal>
            <c:numRef>
              <c:f>'RR Consolidado por FR'!$I$10</c:f>
              <c:numCache>
                <c:formatCode>0.00</c:formatCode>
                <c:ptCount val="1"/>
                <c:pt idx="0">
                  <c:v>2</c:v>
                </c:pt>
              </c:numCache>
            </c:numRef>
          </c:yVal>
          <c:smooth val="0"/>
          <c:extLst>
            <c:ext xmlns:c16="http://schemas.microsoft.com/office/drawing/2014/chart" uri="{C3380CC4-5D6E-409C-BE32-E72D297353CC}">
              <c16:uniqueId val="{00000005-C6F6-4C23-B438-58EFA5156D82}"/>
            </c:ext>
          </c:extLst>
        </c:ser>
        <c:ser>
          <c:idx val="5"/>
          <c:order val="5"/>
          <c:tx>
            <c:strRef>
              <c:f>'Mapa de riesgo'!$T$35</c:f>
              <c:strCache>
                <c:ptCount val="1"/>
                <c:pt idx="0">
                  <c:v>Ge</c:v>
                </c:pt>
              </c:strCache>
            </c:strRef>
          </c:tx>
          <c:spPr>
            <a:ln w="28575">
              <a:noFill/>
            </a:ln>
          </c:spPr>
          <c:marker>
            <c:symbol val="circle"/>
            <c:size val="20"/>
            <c:spPr>
              <a:solidFill>
                <a:schemeClr val="bg1">
                  <a:lumMod val="65000"/>
                </a:schemeClr>
              </a:solidFill>
            </c:spPr>
          </c:marker>
          <c:dLbls>
            <c:spPr>
              <a:noFill/>
              <a:ln>
                <a:noFill/>
              </a:ln>
              <a:effectLst/>
            </c:spPr>
            <c:txPr>
              <a:bodyPr/>
              <a:lstStyle/>
              <a:p>
                <a:pPr>
                  <a:defRPr sz="900">
                    <a:solidFill>
                      <a:schemeClr val="bg1"/>
                    </a:solidFill>
                  </a:defRPr>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FR'!$J$11</c:f>
              <c:numCache>
                <c:formatCode>0.00</c:formatCode>
                <c:ptCount val="1"/>
                <c:pt idx="0">
                  <c:v>0</c:v>
                </c:pt>
              </c:numCache>
            </c:numRef>
          </c:xVal>
          <c:yVal>
            <c:numRef>
              <c:f>'RR Consolidado por FR'!$I$11</c:f>
              <c:numCache>
                <c:formatCode>0.00</c:formatCode>
                <c:ptCount val="1"/>
                <c:pt idx="0">
                  <c:v>0</c:v>
                </c:pt>
              </c:numCache>
            </c:numRef>
          </c:yVal>
          <c:smooth val="0"/>
          <c:extLst>
            <c:ext xmlns:c16="http://schemas.microsoft.com/office/drawing/2014/chart" uri="{C3380CC4-5D6E-409C-BE32-E72D297353CC}">
              <c16:uniqueId val="{00000006-C6F6-4C23-B438-58EFA5156D82}"/>
            </c:ext>
          </c:extLst>
        </c:ser>
        <c:ser>
          <c:idx val="6"/>
          <c:order val="6"/>
          <c:tx>
            <c:strRef>
              <c:f>'Mapa de riesgo'!$T$36</c:f>
              <c:strCache>
                <c:ptCount val="1"/>
                <c:pt idx="0">
                  <c:v>Ge</c:v>
                </c:pt>
              </c:strCache>
            </c:strRef>
          </c:tx>
          <c:spPr>
            <a:ln w="28575">
              <a:noFill/>
            </a:ln>
          </c:spPr>
          <c:marker>
            <c:symbol val="circle"/>
            <c:size val="20"/>
          </c:marker>
          <c:dPt>
            <c:idx val="0"/>
            <c:marker>
              <c:spPr>
                <a:solidFill>
                  <a:srgbClr val="00B0F0"/>
                </a:solidFill>
              </c:spPr>
            </c:marker>
            <c:bubble3D val="0"/>
            <c:extLst>
              <c:ext xmlns:c16="http://schemas.microsoft.com/office/drawing/2014/chart" uri="{C3380CC4-5D6E-409C-BE32-E72D297353CC}">
                <c16:uniqueId val="{00000007-C6F6-4C23-B438-58EFA5156D82}"/>
              </c:ext>
            </c:extLst>
          </c:dPt>
          <c:dLbls>
            <c:dLbl>
              <c:idx val="0"/>
              <c:spPr/>
              <c:txPr>
                <a:bodyPr/>
                <a:lstStyle/>
                <a:p>
                  <a:pPr>
                    <a:defRPr sz="1000" b="1">
                      <a:solidFill>
                        <a:schemeClr val="bg1"/>
                      </a:solidFill>
                    </a:defRPr>
                  </a:pPr>
                  <a:endParaRPr lang="es-CO"/>
                </a:p>
              </c:txPr>
              <c:dLblPos val="ctr"/>
              <c:showLegendKey val="0"/>
              <c:showVal val="0"/>
              <c:showCatName val="0"/>
              <c:showSerName val="1"/>
              <c:showPercent val="0"/>
              <c:showBubbleSize val="0"/>
              <c:extLst>
                <c:ext xmlns:c16="http://schemas.microsoft.com/office/drawing/2014/chart" uri="{C3380CC4-5D6E-409C-BE32-E72D297353CC}">
                  <c16:uniqueId val="{00000007-C6F6-4C23-B438-58EFA5156D82}"/>
                </c:ext>
              </c:extLst>
            </c:dLbl>
            <c:spPr>
              <a:noFill/>
              <a:ln>
                <a:noFill/>
              </a:ln>
              <a:effectLst/>
            </c:spPr>
            <c:txPr>
              <a:bodyPr/>
              <a:lstStyle/>
              <a:p>
                <a:pPr>
                  <a:defRPr b="1"/>
                </a:pPr>
                <a:endParaRPr lang="es-CO"/>
              </a:p>
            </c:tx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FR'!$J$12</c:f>
              <c:numCache>
                <c:formatCode>0.00</c:formatCode>
                <c:ptCount val="1"/>
                <c:pt idx="0">
                  <c:v>2</c:v>
                </c:pt>
              </c:numCache>
            </c:numRef>
          </c:xVal>
          <c:yVal>
            <c:numRef>
              <c:f>'RR Consolidado por FR'!$I$12</c:f>
              <c:numCache>
                <c:formatCode>0.00</c:formatCode>
                <c:ptCount val="1"/>
                <c:pt idx="0">
                  <c:v>3</c:v>
                </c:pt>
              </c:numCache>
            </c:numRef>
          </c:yVal>
          <c:smooth val="0"/>
          <c:extLst>
            <c:ext xmlns:c16="http://schemas.microsoft.com/office/drawing/2014/chart" uri="{C3380CC4-5D6E-409C-BE32-E72D297353CC}">
              <c16:uniqueId val="{00000008-C6F6-4C23-B438-58EFA5156D82}"/>
            </c:ext>
          </c:extLst>
        </c:ser>
        <c:ser>
          <c:idx val="7"/>
          <c:order val="7"/>
          <c:tx>
            <c:strRef>
              <c:f>'Mapa de riesgo'!$T$37</c:f>
              <c:strCache>
                <c:ptCount val="1"/>
                <c:pt idx="0">
                  <c:v>Gt</c:v>
                </c:pt>
              </c:strCache>
            </c:strRef>
          </c:tx>
          <c:spPr>
            <a:ln w="28575">
              <a:noFill/>
            </a:ln>
          </c:spPr>
          <c:dPt>
            <c:idx val="0"/>
            <c:marker>
              <c:symbol val="circle"/>
              <c:size val="20"/>
            </c:marker>
            <c:bubble3D val="0"/>
            <c:spPr>
              <a:ln>
                <a:solidFill>
                  <a:schemeClr val="accent1"/>
                </a:solidFill>
              </a:ln>
            </c:spPr>
            <c:extLst>
              <c:ext xmlns:c16="http://schemas.microsoft.com/office/drawing/2014/chart" uri="{C3380CC4-5D6E-409C-BE32-E72D297353CC}">
                <c16:uniqueId val="{0000000A-C6F6-4C23-B438-58EFA5156D82}"/>
              </c:ext>
            </c:extLst>
          </c:dPt>
          <c:dLbls>
            <c:dLbl>
              <c:idx val="0"/>
              <c:spPr/>
              <c:txPr>
                <a:bodyPr/>
                <a:lstStyle/>
                <a:p>
                  <a:pPr>
                    <a:defRPr>
                      <a:solidFill>
                        <a:schemeClr val="bg1"/>
                      </a:solidFill>
                    </a:defRPr>
                  </a:pPr>
                  <a:endParaRPr lang="es-CO"/>
                </a:p>
              </c:txPr>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C6F6-4C23-B438-58EFA5156D8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'RR Consolidado por FR'!$J$13</c:f>
              <c:numCache>
                <c:formatCode>0.00</c:formatCode>
                <c:ptCount val="1"/>
                <c:pt idx="0">
                  <c:v>0</c:v>
                </c:pt>
              </c:numCache>
            </c:numRef>
          </c:xVal>
          <c:yVal>
            <c:numRef>
              <c:f>'RR Consolidado por FR'!$I$13</c:f>
              <c:numCache>
                <c:formatCode>0.00</c:formatCode>
                <c:ptCount val="1"/>
                <c:pt idx="0">
                  <c:v>0</c:v>
                </c:pt>
              </c:numCache>
            </c:numRef>
          </c:yVal>
          <c:smooth val="0"/>
          <c:extLst>
            <c:ext xmlns:c16="http://schemas.microsoft.com/office/drawing/2014/chart" uri="{C3380CC4-5D6E-409C-BE32-E72D297353CC}">
              <c16:uniqueId val="{0000000B-C6F6-4C23-B438-58EFA5156D82}"/>
            </c:ext>
          </c:extLst>
        </c:ser>
        <c:ser>
          <c:idx val="8"/>
          <c:order val="8"/>
          <c:tx>
            <c:strRef>
              <c:f>'Mapa de riesgo'!$W$34</c:f>
              <c:strCache>
                <c:ptCount val="1"/>
                <c:pt idx="0">
                  <c:v>DN</c:v>
                </c:pt>
              </c:strCache>
            </c:strRef>
          </c:tx>
          <c:spPr>
            <a:ln w="28575">
              <a:noFill/>
            </a:ln>
          </c:spPr>
          <c:dLbls>
            <c:dLbl>
              <c:idx val="0"/>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C-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5-D4BE-4B45-ACCE-43DA8EAE08B7}"/>
            </c:ext>
          </c:extLst>
        </c:ser>
        <c:ser>
          <c:idx val="9"/>
          <c:order val="9"/>
          <c:tx>
            <c:strRef>
              <c:f>'Mapa de riesgo'!$W$35</c:f>
              <c:strCache>
                <c:ptCount val="1"/>
                <c:pt idx="0">
                  <c:v>RS</c:v>
                </c:pt>
              </c:strCache>
            </c:strRef>
          </c:tx>
          <c:spPr>
            <a:ln w="28575">
              <a:noFill/>
            </a:ln>
          </c:spPr>
          <c:dLbls>
            <c:dLbl>
              <c:idx val="0"/>
              <c:spPr>
                <a:solidFill>
                  <a:schemeClr val="accent4"/>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D-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6-D4BE-4B45-ACCE-43DA8EAE08B7}"/>
            </c:ext>
          </c:extLst>
        </c:ser>
        <c:ser>
          <c:idx val="10"/>
          <c:order val="10"/>
          <c:tx>
            <c:strRef>
              <c:f>'Mapa de riesgo'!$W$36</c:f>
              <c:strCache>
                <c:ptCount val="1"/>
                <c:pt idx="0">
                  <c:v>So</c:v>
                </c:pt>
              </c:strCache>
            </c:strRef>
          </c:tx>
          <c:spPr>
            <a:ln w="28575">
              <a:noFill/>
            </a:ln>
          </c:spPr>
          <c:dLbls>
            <c:dLbl>
              <c:idx val="0"/>
              <c:spPr>
                <a:solidFill>
                  <a:schemeClr val="bg1">
                    <a:lumMod val="50000"/>
                  </a:schemeClr>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E-D4BE-4B45-ACCE-43DA8EAE08B7}"/>
                </c:ext>
              </c:extLst>
            </c:dLbl>
            <c:spPr>
              <a:noFill/>
              <a:ln>
                <a:no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7-D4BE-4B45-ACCE-43DA8EAE08B7}"/>
            </c:ext>
          </c:extLst>
        </c:ser>
        <c:ser>
          <c:idx val="11"/>
          <c:order val="11"/>
          <c:tx>
            <c:strRef>
              <c:f>'Mapa de riesgo'!$W$37</c:f>
              <c:strCache>
                <c:ptCount val="1"/>
                <c:pt idx="0">
                  <c:v>EMI</c:v>
                </c:pt>
              </c:strCache>
            </c:strRef>
          </c:tx>
          <c:spPr>
            <a:ln w="28575">
              <a:noFill/>
            </a:ln>
          </c:spPr>
          <c:dLbls>
            <c:dLbl>
              <c:idx val="0"/>
              <c:spPr>
                <a:solidFill>
                  <a:schemeClr val="accent2"/>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0F-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8-D4BE-4B45-ACCE-43DA8EAE08B7}"/>
            </c:ext>
          </c:extLst>
        </c:ser>
        <c:ser>
          <c:idx val="12"/>
          <c:order val="12"/>
          <c:tx>
            <c:strRef>
              <c:f>'Mapa de riesgo'!$Z$34</c:f>
              <c:strCache>
                <c:ptCount val="1"/>
              </c:strCache>
            </c:strRef>
          </c:tx>
          <c:spPr>
            <a:ln w="28575">
              <a:noFill/>
            </a:ln>
          </c:spPr>
          <c:dLbls>
            <c:dLbl>
              <c:idx val="0"/>
              <c:spPr>
                <a:solidFill>
                  <a:schemeClr val="accent3"/>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0-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9-D4BE-4B45-ACCE-43DA8EAE08B7}"/>
            </c:ext>
          </c:extLst>
        </c:ser>
        <c:ser>
          <c:idx val="13"/>
          <c:order val="13"/>
          <c:tx>
            <c:strRef>
              <c:f>'Mapa de riesgo'!$Z$35</c:f>
              <c:strCache>
                <c:ptCount val="1"/>
              </c:strCache>
            </c:strRef>
          </c:tx>
          <c:spPr>
            <a:ln w="28575">
              <a:noFill/>
            </a:ln>
          </c:spPr>
          <c:dLbls>
            <c:dLbl>
              <c:idx val="0"/>
              <c:spPr>
                <a:solidFill>
                  <a:schemeClr val="accent6">
                    <a:lumMod val="50000"/>
                  </a:schemeClr>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1-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A-D4BE-4B45-ACCE-43DA8EAE08B7}"/>
            </c:ext>
          </c:extLst>
        </c:ser>
        <c:ser>
          <c:idx val="14"/>
          <c:order val="14"/>
          <c:tx>
            <c:strRef>
              <c:f>'Mapa de riesgo'!$Z$36</c:f>
              <c:strCache>
                <c:ptCount val="1"/>
              </c:strCache>
            </c:strRef>
          </c:tx>
          <c:spPr>
            <a:ln w="28575">
              <a:noFill/>
            </a:ln>
          </c:spPr>
          <c:dLbls>
            <c:dLbl>
              <c:idx val="0"/>
              <c:spPr>
                <a:solidFill>
                  <a:schemeClr val="accent1">
                    <a:lumMod val="60000"/>
                    <a:lumOff val="40000"/>
                  </a:schemeClr>
                </a:solidFill>
              </c:spPr>
              <c:txPr>
                <a:bodyPr/>
                <a:lstStyle/>
                <a:p>
                  <a:pPr>
                    <a:defRPr sz="700" b="1"/>
                  </a:pPr>
                  <a:endParaRPr lang="es-CO"/>
                </a:p>
              </c:txPr>
              <c:dLblPos val="ct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ellipse">
                      <a:avLst/>
                    </a:prstGeom>
                  </c15:spPr>
                </c:ext>
                <c:ext xmlns:c16="http://schemas.microsoft.com/office/drawing/2014/chart" uri="{C3380CC4-5D6E-409C-BE32-E72D297353CC}">
                  <c16:uniqueId val="{00000012-D4BE-4B45-ACCE-43DA8EAE08B7}"/>
                </c:ext>
              </c:extLst>
            </c:dLbl>
            <c:spPr>
              <a:solidFill>
                <a:sysClr val="window" lastClr="FFFFFF"/>
              </a:solidFill>
              <a:ln>
                <a:solidFill>
                  <a:sysClr val="windowText" lastClr="000000">
                    <a:lumMod val="65000"/>
                    <a:lumOff val="35000"/>
                  </a:sysClr>
                </a:solidFill>
              </a:ln>
              <a:effectLst/>
            </c:spPr>
            <c:dLblPos val="ct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ellipse">
                    <a:avLst/>
                  </a:prstGeom>
                </c15:spPr>
                <c15:showLeaderLines val="0"/>
              </c:ext>
            </c:extLst>
          </c:dLbls>
          <c:xVal>
            <c:numRef>
              <c:f>'RR Consolidado por FR'!#REF!</c:f>
            </c:numRef>
          </c:xVal>
          <c:yVal>
            <c:numRef>
              <c:f>'RR Consolidado por FR'!#REF!</c:f>
              <c:numCache>
                <c:formatCode>General</c:formatCode>
                <c:ptCount val="1"/>
                <c:pt idx="0">
                  <c:v>1</c:v>
                </c:pt>
              </c:numCache>
            </c:numRef>
          </c:yVal>
          <c:smooth val="0"/>
          <c:extLst>
            <c:ext xmlns:c16="http://schemas.microsoft.com/office/drawing/2014/chart" uri="{C3380CC4-5D6E-409C-BE32-E72D297353CC}">
              <c16:uniqueId val="{0000000B-D4BE-4B45-ACCE-43DA8EAE08B7}"/>
            </c:ext>
          </c:extLst>
        </c:ser>
        <c:dLbls>
          <c:showLegendKey val="0"/>
          <c:showVal val="0"/>
          <c:showCatName val="0"/>
          <c:showSerName val="0"/>
          <c:showPercent val="0"/>
          <c:showBubbleSize val="0"/>
        </c:dLbls>
        <c:axId val="1341442416"/>
        <c:axId val="1341427728"/>
      </c:scatterChart>
      <c:valAx>
        <c:axId val="1341442416"/>
        <c:scaling>
          <c:orientation val="minMax"/>
          <c:max val="5.5"/>
          <c:min val="0.5"/>
        </c:scaling>
        <c:delete val="0"/>
        <c:axPos val="b"/>
        <c:title>
          <c:tx>
            <c:rich>
              <a:bodyPr/>
              <a:lstStyle/>
              <a:p>
                <a:pPr>
                  <a:defRPr sz="1400">
                    <a:latin typeface="Candara" panose="020E0502030303020204" pitchFamily="34" charset="0"/>
                  </a:defRPr>
                </a:pPr>
                <a:r>
                  <a:rPr lang="es-CO" sz="1400">
                    <a:latin typeface="Candara" panose="020E0502030303020204" pitchFamily="34" charset="0"/>
                  </a:rPr>
                  <a:t>Valoración consecuencia</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1341427728"/>
        <c:crosses val="autoZero"/>
        <c:crossBetween val="midCat"/>
        <c:majorUnit val="0.5"/>
      </c:valAx>
      <c:valAx>
        <c:axId val="1341427728"/>
        <c:scaling>
          <c:orientation val="minMax"/>
          <c:max val="5.5"/>
          <c:min val="0.5"/>
        </c:scaling>
        <c:delete val="0"/>
        <c:axPos val="l"/>
        <c:title>
          <c:tx>
            <c:rich>
              <a:bodyPr rot="-5400000" vert="horz"/>
              <a:lstStyle/>
              <a:p>
                <a:pPr>
                  <a:defRPr sz="1400">
                    <a:latin typeface="Candara" panose="020E0502030303020204" pitchFamily="34" charset="0"/>
                  </a:defRPr>
                </a:pPr>
                <a:r>
                  <a:rPr lang="es-CO" sz="1400">
                    <a:latin typeface="Candara" panose="020E0502030303020204" pitchFamily="34" charset="0"/>
                  </a:rPr>
                  <a:t>Probabilidad</a:t>
                </a:r>
              </a:p>
            </c:rich>
          </c:tx>
          <c:layout/>
          <c:overlay val="0"/>
        </c:title>
        <c:numFmt formatCode="0.00" sourceLinked="1"/>
        <c:majorTickMark val="none"/>
        <c:minorTickMark val="none"/>
        <c:tickLblPos val="nextTo"/>
        <c:txPr>
          <a:bodyPr/>
          <a:lstStyle/>
          <a:p>
            <a:pPr>
              <a:defRPr>
                <a:solidFill>
                  <a:schemeClr val="bg1"/>
                </a:solidFill>
              </a:defRPr>
            </a:pPr>
            <a:endParaRPr lang="es-CO"/>
          </a:p>
        </c:txPr>
        <c:crossAx val="1341442416"/>
        <c:crosses val="autoZero"/>
        <c:crossBetween val="midCat"/>
        <c:majorUnit val="0.5"/>
      </c:valAx>
      <c:spPr>
        <a:blipFill>
          <a:blip xmlns:r="http://schemas.openxmlformats.org/officeDocument/2006/relationships" r:embed="rId1"/>
          <a:stretch>
            <a:fillRect/>
          </a:stretch>
        </a:blipFill>
      </c:spPr>
    </c:plotArea>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r>
              <a:rPr lang="en-US" sz="1800" b="1">
                <a:solidFill>
                  <a:srgbClr val="ED3338"/>
                </a:solidFill>
              </a:rPr>
              <a:t>Promedio</a:t>
            </a:r>
            <a:r>
              <a:rPr lang="en-US" sz="1800" b="1" baseline="0">
                <a:solidFill>
                  <a:srgbClr val="ED3338"/>
                </a:solidFill>
              </a:rPr>
              <a:t> </a:t>
            </a:r>
            <a:r>
              <a:rPr lang="en-US" sz="1800" b="1">
                <a:solidFill>
                  <a:srgbClr val="ED3338"/>
                </a:solidFill>
              </a:rPr>
              <a:t>Riesgos asociados (inherentes)</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endParaRPr lang="es-CO"/>
        </a:p>
      </c:txPr>
    </c:title>
    <c:autoTitleDeleted val="0"/>
    <c:plotArea>
      <c:layout/>
      <c:barChart>
        <c:barDir val="col"/>
        <c:grouping val="clustered"/>
        <c:varyColors val="0"/>
        <c:ser>
          <c:idx val="0"/>
          <c:order val="0"/>
          <c:tx>
            <c:strRef>
              <c:f>'RI Consolidado por FR'!$M$5</c:f>
              <c:strCache>
                <c:ptCount val="1"/>
                <c:pt idx="0">
                  <c:v>Promedio</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'RI Consolidado por FR'!$L$6:$L$9</c:f>
              <c:strCache>
                <c:ptCount val="4"/>
                <c:pt idx="0">
                  <c:v>Riesgo de Contagio</c:v>
                </c:pt>
                <c:pt idx="1">
                  <c:v>Riesgo Legal</c:v>
                </c:pt>
                <c:pt idx="2">
                  <c:v>Riesgo Reputacional</c:v>
                </c:pt>
                <c:pt idx="3">
                  <c:v>Riesgo Operativo</c:v>
                </c:pt>
              </c:strCache>
            </c:strRef>
          </c:cat>
          <c:val>
            <c:numRef>
              <c:f>'RI Consolidado por FR'!$M$6:$M$9</c:f>
              <c:numCache>
                <c:formatCode>0.00</c:formatCode>
                <c:ptCount val="4"/>
                <c:pt idx="0">
                  <c:v>2.9333333333333331</c:v>
                </c:pt>
                <c:pt idx="1">
                  <c:v>3.6</c:v>
                </c:pt>
                <c:pt idx="2">
                  <c:v>3.7333333333333334</c:v>
                </c:pt>
                <c:pt idx="3">
                  <c:v>3</c:v>
                </c:pt>
              </c:numCache>
            </c:numRef>
          </c:val>
          <c:extLst>
            <c:ext xmlns:c16="http://schemas.microsoft.com/office/drawing/2014/chart" uri="{C3380CC4-5D6E-409C-BE32-E72D297353CC}">
              <c16:uniqueId val="{00000000-97C2-439F-A022-F83F197A5B08}"/>
            </c:ext>
          </c:extLst>
        </c:ser>
        <c:dLbls>
          <c:dLblPos val="outEnd"/>
          <c:showLegendKey val="0"/>
          <c:showVal val="1"/>
          <c:showCatName val="0"/>
          <c:showSerName val="0"/>
          <c:showPercent val="0"/>
          <c:showBubbleSize val="0"/>
        </c:dLbls>
        <c:gapWidth val="219"/>
        <c:overlap val="-27"/>
        <c:axId val="42694880"/>
        <c:axId val="42693632"/>
      </c:barChart>
      <c:catAx>
        <c:axId val="42694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2693632"/>
        <c:crosses val="autoZero"/>
        <c:auto val="1"/>
        <c:lblAlgn val="ctr"/>
        <c:lblOffset val="100"/>
        <c:noMultiLvlLbl val="0"/>
      </c:catAx>
      <c:valAx>
        <c:axId val="42693632"/>
        <c:scaling>
          <c:orientation val="minMax"/>
          <c:max val="5"/>
          <c:min val="1"/>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42694880"/>
        <c:crosses val="autoZero"/>
        <c:crossBetween val="between"/>
        <c:majorUnit val="1"/>
      </c:valAx>
      <c:spPr>
        <a:blipFill>
          <a:blip xmlns:r="http://schemas.openxmlformats.org/officeDocument/2006/relationships" r:embed="rId3"/>
          <a:stretch>
            <a:fillRect/>
          </a:stretch>
        </a:blipFill>
        <a:ln>
          <a:noFill/>
        </a:ln>
        <a:effectLst/>
      </c:spPr>
    </c:plotArea>
    <c:plotVisOnly val="1"/>
    <c:dispBlanksAs val="gap"/>
    <c:showDLblsOverMax val="0"/>
    <c:extLst/>
  </c:chart>
  <c:spPr>
    <a:gradFill>
      <a:gsLst>
        <a:gs pos="0">
          <a:schemeClr val="bg1"/>
        </a:gs>
        <a:gs pos="100000">
          <a:schemeClr val="accent1">
            <a:lumMod val="30000"/>
            <a:lumOff val="70000"/>
          </a:schemeClr>
        </a:gs>
      </a:gsLst>
      <a:lin ang="5400000" scaled="1"/>
    </a:grad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r>
              <a:rPr lang="es-CO" sz="1800" b="1">
                <a:solidFill>
                  <a:srgbClr val="ED3338"/>
                </a:solidFill>
              </a:rPr>
              <a:t>Promedio Riesgos asociados (Residual)</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rgbClr val="ED3338"/>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0" i="0" u="none" strike="noStrike" kern="1200" baseline="0">
                    <a:solidFill>
                      <a:schemeClr val="bg1"/>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'RR Consolidado por FR'!$L$6:$L$9</c:f>
              <c:strCache>
                <c:ptCount val="4"/>
                <c:pt idx="0">
                  <c:v>Riesgo de Contagio</c:v>
                </c:pt>
                <c:pt idx="1">
                  <c:v>Riesgo Legal</c:v>
                </c:pt>
                <c:pt idx="2">
                  <c:v>Riesgo Reputacional</c:v>
                </c:pt>
                <c:pt idx="3">
                  <c:v>Riesgo Operativo</c:v>
                </c:pt>
              </c:strCache>
            </c:strRef>
          </c:cat>
          <c:val>
            <c:numRef>
              <c:f>'RR Consolidado por FR'!$M$6:$M$9</c:f>
              <c:numCache>
                <c:formatCode>0.00</c:formatCode>
                <c:ptCount val="4"/>
                <c:pt idx="0">
                  <c:v>0.43333333333333335</c:v>
                </c:pt>
                <c:pt idx="1">
                  <c:v>0.62</c:v>
                </c:pt>
                <c:pt idx="2">
                  <c:v>0.38</c:v>
                </c:pt>
                <c:pt idx="3">
                  <c:v>0.44000000000000006</c:v>
                </c:pt>
              </c:numCache>
            </c:numRef>
          </c:val>
          <c:extLst>
            <c:ext xmlns:c16="http://schemas.microsoft.com/office/drawing/2014/chart" uri="{C3380CC4-5D6E-409C-BE32-E72D297353CC}">
              <c16:uniqueId val="{00000000-0055-49CC-92B1-140659ADED5E}"/>
            </c:ext>
          </c:extLst>
        </c:ser>
        <c:dLbls>
          <c:dLblPos val="outEnd"/>
          <c:showLegendKey val="0"/>
          <c:showVal val="1"/>
          <c:showCatName val="0"/>
          <c:showSerName val="0"/>
          <c:showPercent val="0"/>
          <c:showBubbleSize val="0"/>
        </c:dLbls>
        <c:gapWidth val="219"/>
        <c:overlap val="-27"/>
        <c:axId val="1399514047"/>
        <c:axId val="1399517791"/>
      </c:barChart>
      <c:catAx>
        <c:axId val="1399514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399517791"/>
        <c:crosses val="autoZero"/>
        <c:auto val="1"/>
        <c:lblAlgn val="ctr"/>
        <c:lblOffset val="100"/>
        <c:noMultiLvlLbl val="0"/>
      </c:catAx>
      <c:valAx>
        <c:axId val="1399517791"/>
        <c:scaling>
          <c:orientation val="minMax"/>
          <c:max val="5"/>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1399514047"/>
        <c:crosses val="autoZero"/>
        <c:crossBetween val="between"/>
        <c:majorUnit val="1"/>
      </c:valAx>
      <c:spPr>
        <a:blipFill>
          <a:blip xmlns:r="http://schemas.openxmlformats.org/officeDocument/2006/relationships" r:embed="rId3"/>
          <a:stretch>
            <a:fillRect/>
          </a:stretch>
        </a:blipFill>
        <a:ln>
          <a:noFill/>
        </a:ln>
        <a:effectLst/>
      </c:spPr>
    </c:plotArea>
    <c:plotVisOnly val="1"/>
    <c:dispBlanksAs val="gap"/>
    <c:showDLblsOverMax val="0"/>
    <c:extLst/>
  </c:chart>
  <c:spPr>
    <a:gradFill>
      <a:gsLst>
        <a:gs pos="0">
          <a:schemeClr val="bg1"/>
        </a:gs>
        <a:gs pos="100000">
          <a:schemeClr val="accent1">
            <a:lumMod val="30000"/>
            <a:lumOff val="70000"/>
          </a:schemeClr>
        </a:gs>
      </a:gsLst>
      <a:lin ang="5400000" scaled="1"/>
    </a:gradFill>
    <a:ln w="9525" cap="flat" cmpd="sng" algn="ctr">
      <a:noFill/>
      <a:round/>
    </a:ln>
    <a:effectLst/>
  </c:spPr>
  <c:txPr>
    <a:bodyPr/>
    <a:lstStyle/>
    <a:p>
      <a:pPr>
        <a:defRPr sz="14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s1!A1"/><Relationship Id="rId1" Type="http://schemas.openxmlformats.org/officeDocument/2006/relationships/hyperlink" Target="#Puntuaciones!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Tablas1!A1"/><Relationship Id="rId1" Type="http://schemas.openxmlformats.org/officeDocument/2006/relationships/hyperlink" Target="#Puntuaciones!A1"/></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3</xdr:col>
      <xdr:colOff>494971</xdr:colOff>
      <xdr:row>0</xdr:row>
      <xdr:rowOff>160086</xdr:rowOff>
    </xdr:from>
    <xdr:to>
      <xdr:col>4</xdr:col>
      <xdr:colOff>2790265</xdr:colOff>
      <xdr:row>3</xdr:row>
      <xdr:rowOff>324972</xdr:rowOff>
    </xdr:to>
    <xdr:sp macro="" textlink="">
      <xdr:nvSpPr>
        <xdr:cNvPr id="38" name="37 Rectángulo redondeado">
          <a:extLst>
            <a:ext uri="{FF2B5EF4-FFF2-40B4-BE49-F238E27FC236}">
              <a16:creationId xmlns:a16="http://schemas.microsoft.com/office/drawing/2014/main" id="{00000000-0008-0000-0000-000026000000}"/>
            </a:ext>
          </a:extLst>
        </xdr:cNvPr>
        <xdr:cNvSpPr/>
      </xdr:nvSpPr>
      <xdr:spPr>
        <a:xfrm>
          <a:off x="2949059" y="160086"/>
          <a:ext cx="3113324" cy="702768"/>
        </a:xfrm>
        <a:prstGeom prst="roundRect">
          <a:avLst/>
        </a:prstGeom>
        <a:solidFill>
          <a:srgbClr val="ED3338"/>
        </a:solidFill>
        <a:ln w="19050">
          <a:solidFill>
            <a:schemeClr val="tx2">
              <a:lumMod val="50000"/>
            </a:schemeClr>
          </a:solidFill>
        </a:ln>
        <a:effectLst>
          <a:innerShdw blurRad="63500" dist="50800" dir="16200000">
            <a:prstClr val="black">
              <a:alpha val="50000"/>
            </a:prstClr>
          </a:innerShdw>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Candara" panose="020E0502030303020204" pitchFamily="34" charset="0"/>
            </a:rPr>
            <a:t>CONTENIDO</a:t>
          </a:r>
        </a:p>
      </xdr:txBody>
    </xdr:sp>
    <xdr:clientData/>
  </xdr:twoCellAnchor>
  <xdr:twoCellAnchor>
    <xdr:from>
      <xdr:col>2</xdr:col>
      <xdr:colOff>753833</xdr:colOff>
      <xdr:row>5</xdr:row>
      <xdr:rowOff>123265</xdr:rowOff>
    </xdr:from>
    <xdr:to>
      <xdr:col>4</xdr:col>
      <xdr:colOff>1022181</xdr:colOff>
      <xdr:row>10</xdr:row>
      <xdr:rowOff>69637</xdr:rowOff>
    </xdr:to>
    <xdr:sp macro="[0]!Macro1" textlink="">
      <xdr:nvSpPr>
        <xdr:cNvPr id="39" name="38 Rectángulo redondeado">
          <a:extLst>
            <a:ext uri="{FF2B5EF4-FFF2-40B4-BE49-F238E27FC236}">
              <a16:creationId xmlns:a16="http://schemas.microsoft.com/office/drawing/2014/main" id="{00000000-0008-0000-0000-000027000000}"/>
            </a:ext>
          </a:extLst>
        </xdr:cNvPr>
        <xdr:cNvSpPr/>
      </xdr:nvSpPr>
      <xdr:spPr>
        <a:xfrm>
          <a:off x="2389892" y="2106706"/>
          <a:ext cx="1904407" cy="842843"/>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inherente</a:t>
          </a:r>
          <a:endParaRPr lang="es-CO" sz="1400">
            <a:solidFill>
              <a:schemeClr val="bg1"/>
            </a:solidFill>
            <a:latin typeface="Candara" panose="020E0502030303020204" pitchFamily="34" charset="0"/>
          </a:endParaRPr>
        </a:p>
      </xdr:txBody>
    </xdr:sp>
    <xdr:clientData/>
  </xdr:twoCellAnchor>
  <xdr:twoCellAnchor>
    <xdr:from>
      <xdr:col>2</xdr:col>
      <xdr:colOff>768803</xdr:colOff>
      <xdr:row>12</xdr:row>
      <xdr:rowOff>10696</xdr:rowOff>
    </xdr:from>
    <xdr:to>
      <xdr:col>4</xdr:col>
      <xdr:colOff>1037152</xdr:colOff>
      <xdr:row>16</xdr:row>
      <xdr:rowOff>118385</xdr:rowOff>
    </xdr:to>
    <xdr:sp macro="[0]!Macro3" textlink="">
      <xdr:nvSpPr>
        <xdr:cNvPr id="40" name="39 Rectángulo redondeado">
          <a:extLst>
            <a:ext uri="{FF2B5EF4-FFF2-40B4-BE49-F238E27FC236}">
              <a16:creationId xmlns:a16="http://schemas.microsoft.com/office/drawing/2014/main" id="{00000000-0008-0000-0000-000028000000}"/>
            </a:ext>
          </a:extLst>
        </xdr:cNvPr>
        <xdr:cNvSpPr/>
      </xdr:nvSpPr>
      <xdr:spPr>
        <a:xfrm>
          <a:off x="2401660" y="3221982"/>
          <a:ext cx="1901206" cy="815260"/>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Controles</a:t>
          </a:r>
        </a:p>
      </xdr:txBody>
    </xdr:sp>
    <xdr:clientData/>
  </xdr:twoCellAnchor>
  <xdr:twoCellAnchor>
    <xdr:from>
      <xdr:col>4</xdr:col>
      <xdr:colOff>1426669</xdr:colOff>
      <xdr:row>11</xdr:row>
      <xdr:rowOff>172371</xdr:rowOff>
    </xdr:from>
    <xdr:to>
      <xdr:col>4</xdr:col>
      <xdr:colOff>3327874</xdr:colOff>
      <xdr:row>16</xdr:row>
      <xdr:rowOff>116640</xdr:rowOff>
    </xdr:to>
    <xdr:sp macro="[0]!Macro4" textlink="">
      <xdr:nvSpPr>
        <xdr:cNvPr id="41" name="40 Rectángulo redondeado">
          <a:extLst>
            <a:ext uri="{FF2B5EF4-FFF2-40B4-BE49-F238E27FC236}">
              <a16:creationId xmlns:a16="http://schemas.microsoft.com/office/drawing/2014/main" id="{00000000-0008-0000-0000-000029000000}"/>
            </a:ext>
          </a:extLst>
        </xdr:cNvPr>
        <xdr:cNvSpPr/>
      </xdr:nvSpPr>
      <xdr:spPr>
        <a:xfrm>
          <a:off x="4698787" y="3231577"/>
          <a:ext cx="1901205" cy="840739"/>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residual</a:t>
          </a:r>
          <a:endParaRPr lang="es-CO" sz="1400">
            <a:solidFill>
              <a:schemeClr val="bg1"/>
            </a:solidFill>
            <a:latin typeface="Candara" panose="020E0502030303020204" pitchFamily="34" charset="0"/>
          </a:endParaRPr>
        </a:p>
      </xdr:txBody>
    </xdr:sp>
    <xdr:clientData/>
  </xdr:twoCellAnchor>
  <xdr:twoCellAnchor>
    <xdr:from>
      <xdr:col>4</xdr:col>
      <xdr:colOff>1425069</xdr:colOff>
      <xdr:row>18</xdr:row>
      <xdr:rowOff>130186</xdr:rowOff>
    </xdr:from>
    <xdr:to>
      <xdr:col>4</xdr:col>
      <xdr:colOff>3326274</xdr:colOff>
      <xdr:row>23</xdr:row>
      <xdr:rowOff>74456</xdr:rowOff>
    </xdr:to>
    <xdr:sp macro="[0]!Módulo1.Macro6" textlink="">
      <xdr:nvSpPr>
        <xdr:cNvPr id="42" name="41 Rectángulo redondeado">
          <a:extLst>
            <a:ext uri="{FF2B5EF4-FFF2-40B4-BE49-F238E27FC236}">
              <a16:creationId xmlns:a16="http://schemas.microsoft.com/office/drawing/2014/main" id="{00000000-0008-0000-0000-00002A000000}"/>
            </a:ext>
          </a:extLst>
        </xdr:cNvPr>
        <xdr:cNvSpPr/>
      </xdr:nvSpPr>
      <xdr:spPr>
        <a:xfrm>
          <a:off x="4690783" y="4402829"/>
          <a:ext cx="1901205" cy="82873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Mapa de</a:t>
          </a:r>
          <a:r>
            <a:rPr lang="es-CO" sz="1400" baseline="0">
              <a:solidFill>
                <a:schemeClr val="bg1"/>
              </a:solidFill>
              <a:latin typeface="Candara" panose="020E0502030303020204" pitchFamily="34" charset="0"/>
            </a:rPr>
            <a:t> riesgo</a:t>
          </a:r>
          <a:endParaRPr lang="es-CO" sz="1400">
            <a:solidFill>
              <a:schemeClr val="bg1"/>
            </a:solidFill>
            <a:latin typeface="Candara" panose="020E0502030303020204" pitchFamily="34" charset="0"/>
          </a:endParaRPr>
        </a:p>
      </xdr:txBody>
    </xdr:sp>
    <xdr:clientData/>
  </xdr:twoCellAnchor>
  <xdr:twoCellAnchor>
    <xdr:from>
      <xdr:col>2</xdr:col>
      <xdr:colOff>746511</xdr:colOff>
      <xdr:row>18</xdr:row>
      <xdr:rowOff>145675</xdr:rowOff>
    </xdr:from>
    <xdr:to>
      <xdr:col>4</xdr:col>
      <xdr:colOff>1098176</xdr:colOff>
      <xdr:row>23</xdr:row>
      <xdr:rowOff>76833</xdr:rowOff>
    </xdr:to>
    <xdr:sp macro="[0]!Macro5" textlink="">
      <xdr:nvSpPr>
        <xdr:cNvPr id="7" name="6 Rectángulo redondeado">
          <a:extLst>
            <a:ext uri="{FF2B5EF4-FFF2-40B4-BE49-F238E27FC236}">
              <a16:creationId xmlns:a16="http://schemas.microsoft.com/office/drawing/2014/main" id="{00000000-0008-0000-0000-000007000000}"/>
            </a:ext>
          </a:extLst>
        </xdr:cNvPr>
        <xdr:cNvSpPr/>
      </xdr:nvSpPr>
      <xdr:spPr>
        <a:xfrm>
          <a:off x="2382570" y="4459940"/>
          <a:ext cx="1987724" cy="827628"/>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RR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1408338</xdr:colOff>
      <xdr:row>5</xdr:row>
      <xdr:rowOff>134831</xdr:rowOff>
    </xdr:from>
    <xdr:to>
      <xdr:col>4</xdr:col>
      <xdr:colOff>3309543</xdr:colOff>
      <xdr:row>10</xdr:row>
      <xdr:rowOff>79100</xdr:rowOff>
    </xdr:to>
    <xdr:sp macro="[0]!Macro2" textlink="">
      <xdr:nvSpPr>
        <xdr:cNvPr id="8" name="7 Rectángulo redondeado">
          <a:extLst>
            <a:ext uri="{FF2B5EF4-FFF2-40B4-BE49-F238E27FC236}">
              <a16:creationId xmlns:a16="http://schemas.microsoft.com/office/drawing/2014/main" id="{00000000-0008-0000-0000-000008000000}"/>
            </a:ext>
          </a:extLst>
        </xdr:cNvPr>
        <xdr:cNvSpPr/>
      </xdr:nvSpPr>
      <xdr:spPr>
        <a:xfrm>
          <a:off x="4680456" y="2118272"/>
          <a:ext cx="1901205" cy="840740"/>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1381126</xdr:colOff>
      <xdr:row>3</xdr:row>
      <xdr:rowOff>459200</xdr:rowOff>
    </xdr:from>
    <xdr:to>
      <xdr:col>4</xdr:col>
      <xdr:colOff>3282332</xdr:colOff>
      <xdr:row>3</xdr:row>
      <xdr:rowOff>1264354</xdr:rowOff>
    </xdr:to>
    <xdr:sp macro="[0]!Macro1" textlink="">
      <xdr:nvSpPr>
        <xdr:cNvPr id="9" name="38 Rectángulo redondeado">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4653244" y="997082"/>
          <a:ext cx="1901206"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Puntuaciones</a:t>
          </a:r>
        </a:p>
      </xdr:txBody>
    </xdr:sp>
    <xdr:clientData/>
  </xdr:twoCellAnchor>
  <xdr:twoCellAnchor>
    <xdr:from>
      <xdr:col>2</xdr:col>
      <xdr:colOff>738868</xdr:colOff>
      <xdr:row>3</xdr:row>
      <xdr:rowOff>450396</xdr:rowOff>
    </xdr:from>
    <xdr:to>
      <xdr:col>4</xdr:col>
      <xdr:colOff>1007217</xdr:colOff>
      <xdr:row>3</xdr:row>
      <xdr:rowOff>1255550</xdr:rowOff>
    </xdr:to>
    <xdr:sp macro="[0]!Macro1" textlink="">
      <xdr:nvSpPr>
        <xdr:cNvPr id="10" name="38 Rectángulo redondeado">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2371725" y="981075"/>
          <a:ext cx="1901206"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Tablas</a:t>
          </a:r>
        </a:p>
      </xdr:txBody>
    </xdr:sp>
    <xdr:clientData/>
  </xdr:twoCellAnchor>
  <xdr:twoCellAnchor editAs="oneCell">
    <xdr:from>
      <xdr:col>4</xdr:col>
      <xdr:colOff>4531179</xdr:colOff>
      <xdr:row>0</xdr:row>
      <xdr:rowOff>0</xdr:rowOff>
    </xdr:from>
    <xdr:to>
      <xdr:col>4</xdr:col>
      <xdr:colOff>6674757</xdr:colOff>
      <xdr:row>3</xdr:row>
      <xdr:rowOff>1194163</xdr:rowOff>
    </xdr:to>
    <xdr:pic>
      <xdr:nvPicPr>
        <xdr:cNvPr id="3" name="Imagen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96893" y="0"/>
          <a:ext cx="2143578" cy="17248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494971</xdr:colOff>
      <xdr:row>0</xdr:row>
      <xdr:rowOff>160086</xdr:rowOff>
    </xdr:from>
    <xdr:to>
      <xdr:col>4</xdr:col>
      <xdr:colOff>2790265</xdr:colOff>
      <xdr:row>3</xdr:row>
      <xdr:rowOff>324972</xdr:rowOff>
    </xdr:to>
    <xdr:sp macro="" textlink="">
      <xdr:nvSpPr>
        <xdr:cNvPr id="2" name="37 Rectángulo redondeado">
          <a:extLst>
            <a:ext uri="{FF2B5EF4-FFF2-40B4-BE49-F238E27FC236}">
              <a16:creationId xmlns:a16="http://schemas.microsoft.com/office/drawing/2014/main" id="{00000000-0008-0000-0100-000002000000}"/>
            </a:ext>
          </a:extLst>
        </xdr:cNvPr>
        <xdr:cNvSpPr/>
      </xdr:nvSpPr>
      <xdr:spPr>
        <a:xfrm>
          <a:off x="2952421" y="160086"/>
          <a:ext cx="3114444" cy="707811"/>
        </a:xfrm>
        <a:prstGeom prst="roundRect">
          <a:avLst/>
        </a:prstGeom>
        <a:solidFill>
          <a:srgbClr val="ED3338"/>
        </a:solidFill>
        <a:ln w="19050">
          <a:solidFill>
            <a:schemeClr val="tx2">
              <a:lumMod val="50000"/>
            </a:schemeClr>
          </a:solidFill>
        </a:ln>
        <a:effectLst>
          <a:innerShdw blurRad="63500" dist="50800" dir="16200000">
            <a:prstClr val="black">
              <a:alpha val="50000"/>
            </a:prstClr>
          </a:innerShdw>
          <a:softEdge rad="12700"/>
        </a:effectLst>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2000" b="1">
              <a:latin typeface="Candara" panose="020E0502030303020204" pitchFamily="34" charset="0"/>
            </a:rPr>
            <a:t>CONTENIDO</a:t>
          </a:r>
        </a:p>
      </xdr:txBody>
    </xdr:sp>
    <xdr:clientData/>
  </xdr:twoCellAnchor>
  <xdr:twoCellAnchor>
    <xdr:from>
      <xdr:col>2</xdr:col>
      <xdr:colOff>753833</xdr:colOff>
      <xdr:row>5</xdr:row>
      <xdr:rowOff>123265</xdr:rowOff>
    </xdr:from>
    <xdr:to>
      <xdr:col>4</xdr:col>
      <xdr:colOff>1022181</xdr:colOff>
      <xdr:row>10</xdr:row>
      <xdr:rowOff>69637</xdr:rowOff>
    </xdr:to>
    <xdr:sp macro="[0]!Macro1" textlink="">
      <xdr:nvSpPr>
        <xdr:cNvPr id="3" name="38 Rectángulo redondeado">
          <a:extLst>
            <a:ext uri="{FF2B5EF4-FFF2-40B4-BE49-F238E27FC236}">
              <a16:creationId xmlns:a16="http://schemas.microsoft.com/office/drawing/2014/main" id="{00000000-0008-0000-0100-000003000000}"/>
            </a:ext>
          </a:extLst>
        </xdr:cNvPr>
        <xdr:cNvSpPr/>
      </xdr:nvSpPr>
      <xdr:spPr>
        <a:xfrm>
          <a:off x="2392133" y="2113990"/>
          <a:ext cx="1906648" cy="851247"/>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inherente</a:t>
          </a:r>
          <a:endParaRPr lang="es-CO" sz="1400">
            <a:solidFill>
              <a:schemeClr val="bg1"/>
            </a:solidFill>
            <a:latin typeface="Candara" panose="020E0502030303020204" pitchFamily="34" charset="0"/>
          </a:endParaRPr>
        </a:p>
      </xdr:txBody>
    </xdr:sp>
    <xdr:clientData/>
  </xdr:twoCellAnchor>
  <xdr:twoCellAnchor>
    <xdr:from>
      <xdr:col>2</xdr:col>
      <xdr:colOff>768803</xdr:colOff>
      <xdr:row>12</xdr:row>
      <xdr:rowOff>10696</xdr:rowOff>
    </xdr:from>
    <xdr:to>
      <xdr:col>4</xdr:col>
      <xdr:colOff>1037152</xdr:colOff>
      <xdr:row>16</xdr:row>
      <xdr:rowOff>118385</xdr:rowOff>
    </xdr:to>
    <xdr:sp macro="[0]!Macro3" textlink="">
      <xdr:nvSpPr>
        <xdr:cNvPr id="4" name="39 Rectángulo redondeado">
          <a:extLst>
            <a:ext uri="{FF2B5EF4-FFF2-40B4-BE49-F238E27FC236}">
              <a16:creationId xmlns:a16="http://schemas.microsoft.com/office/drawing/2014/main" id="{00000000-0008-0000-0100-000004000000}"/>
            </a:ext>
          </a:extLst>
        </xdr:cNvPr>
        <xdr:cNvSpPr/>
      </xdr:nvSpPr>
      <xdr:spPr>
        <a:xfrm>
          <a:off x="2407103" y="3268246"/>
          <a:ext cx="1906649" cy="831589"/>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Controles</a:t>
          </a:r>
        </a:p>
      </xdr:txBody>
    </xdr:sp>
    <xdr:clientData/>
  </xdr:twoCellAnchor>
  <xdr:twoCellAnchor>
    <xdr:from>
      <xdr:col>4</xdr:col>
      <xdr:colOff>1426669</xdr:colOff>
      <xdr:row>11</xdr:row>
      <xdr:rowOff>172371</xdr:rowOff>
    </xdr:from>
    <xdr:to>
      <xdr:col>4</xdr:col>
      <xdr:colOff>3327874</xdr:colOff>
      <xdr:row>16</xdr:row>
      <xdr:rowOff>116640</xdr:rowOff>
    </xdr:to>
    <xdr:sp macro="[0]!Macro4" textlink="">
      <xdr:nvSpPr>
        <xdr:cNvPr id="5" name="40 Rectángulo redondeado">
          <a:extLst>
            <a:ext uri="{FF2B5EF4-FFF2-40B4-BE49-F238E27FC236}">
              <a16:creationId xmlns:a16="http://schemas.microsoft.com/office/drawing/2014/main" id="{00000000-0008-0000-0100-000005000000}"/>
            </a:ext>
          </a:extLst>
        </xdr:cNvPr>
        <xdr:cNvSpPr/>
      </xdr:nvSpPr>
      <xdr:spPr>
        <a:xfrm>
          <a:off x="4703269" y="3248946"/>
          <a:ext cx="1901205" cy="84914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Riesgo</a:t>
          </a:r>
          <a:r>
            <a:rPr lang="es-CO" sz="1400" baseline="0">
              <a:solidFill>
                <a:schemeClr val="bg1"/>
              </a:solidFill>
              <a:latin typeface="Candara" panose="020E0502030303020204" pitchFamily="34" charset="0"/>
            </a:rPr>
            <a:t> residual</a:t>
          </a:r>
          <a:endParaRPr lang="es-CO" sz="1400">
            <a:solidFill>
              <a:schemeClr val="bg1"/>
            </a:solidFill>
            <a:latin typeface="Candara" panose="020E0502030303020204" pitchFamily="34" charset="0"/>
          </a:endParaRPr>
        </a:p>
      </xdr:txBody>
    </xdr:sp>
    <xdr:clientData/>
  </xdr:twoCellAnchor>
  <xdr:twoCellAnchor>
    <xdr:from>
      <xdr:col>4</xdr:col>
      <xdr:colOff>1425069</xdr:colOff>
      <xdr:row>18</xdr:row>
      <xdr:rowOff>130186</xdr:rowOff>
    </xdr:from>
    <xdr:to>
      <xdr:col>4</xdr:col>
      <xdr:colOff>3326274</xdr:colOff>
      <xdr:row>23</xdr:row>
      <xdr:rowOff>74456</xdr:rowOff>
    </xdr:to>
    <xdr:sp macro="[0]!Módulo1.Macro6" textlink="">
      <xdr:nvSpPr>
        <xdr:cNvPr id="6" name="41 Rectángulo redondeado">
          <a:extLst>
            <a:ext uri="{FF2B5EF4-FFF2-40B4-BE49-F238E27FC236}">
              <a16:creationId xmlns:a16="http://schemas.microsoft.com/office/drawing/2014/main" id="{00000000-0008-0000-0100-000006000000}"/>
            </a:ext>
          </a:extLst>
        </xdr:cNvPr>
        <xdr:cNvSpPr/>
      </xdr:nvSpPr>
      <xdr:spPr>
        <a:xfrm>
          <a:off x="4701669" y="4473586"/>
          <a:ext cx="1901205" cy="849145"/>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Mapa de</a:t>
          </a:r>
          <a:r>
            <a:rPr lang="es-CO" sz="1400" baseline="0">
              <a:solidFill>
                <a:schemeClr val="bg1"/>
              </a:solidFill>
              <a:latin typeface="Candara" panose="020E0502030303020204" pitchFamily="34" charset="0"/>
            </a:rPr>
            <a:t> riesgo</a:t>
          </a:r>
          <a:endParaRPr lang="es-CO" sz="1400">
            <a:solidFill>
              <a:schemeClr val="bg1"/>
            </a:solidFill>
            <a:latin typeface="Candara" panose="020E0502030303020204" pitchFamily="34" charset="0"/>
          </a:endParaRPr>
        </a:p>
      </xdr:txBody>
    </xdr:sp>
    <xdr:clientData/>
  </xdr:twoCellAnchor>
  <xdr:twoCellAnchor>
    <xdr:from>
      <xdr:col>2</xdr:col>
      <xdr:colOff>746511</xdr:colOff>
      <xdr:row>18</xdr:row>
      <xdr:rowOff>145675</xdr:rowOff>
    </xdr:from>
    <xdr:to>
      <xdr:col>4</xdr:col>
      <xdr:colOff>1098176</xdr:colOff>
      <xdr:row>23</xdr:row>
      <xdr:rowOff>76833</xdr:rowOff>
    </xdr:to>
    <xdr:sp macro="[0]!Macro5" textlink="">
      <xdr:nvSpPr>
        <xdr:cNvPr id="7" name="6 Rectángulo redondeado">
          <a:extLst>
            <a:ext uri="{FF2B5EF4-FFF2-40B4-BE49-F238E27FC236}">
              <a16:creationId xmlns:a16="http://schemas.microsoft.com/office/drawing/2014/main" id="{00000000-0008-0000-0100-000007000000}"/>
            </a:ext>
          </a:extLst>
        </xdr:cNvPr>
        <xdr:cNvSpPr/>
      </xdr:nvSpPr>
      <xdr:spPr>
        <a:xfrm>
          <a:off x="2384811" y="4489075"/>
          <a:ext cx="1989965" cy="836033"/>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RR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1408338</xdr:colOff>
      <xdr:row>5</xdr:row>
      <xdr:rowOff>134831</xdr:rowOff>
    </xdr:from>
    <xdr:to>
      <xdr:col>4</xdr:col>
      <xdr:colOff>3309543</xdr:colOff>
      <xdr:row>10</xdr:row>
      <xdr:rowOff>79100</xdr:rowOff>
    </xdr:to>
    <xdr:sp macro="[0]!Macro2" textlink="">
      <xdr:nvSpPr>
        <xdr:cNvPr id="8" name="7 Rectángulo redondeado">
          <a:extLst>
            <a:ext uri="{FF2B5EF4-FFF2-40B4-BE49-F238E27FC236}">
              <a16:creationId xmlns:a16="http://schemas.microsoft.com/office/drawing/2014/main" id="{00000000-0008-0000-0100-000008000000}"/>
            </a:ext>
          </a:extLst>
        </xdr:cNvPr>
        <xdr:cNvSpPr/>
      </xdr:nvSpPr>
      <xdr:spPr>
        <a:xfrm>
          <a:off x="4684938" y="2125556"/>
          <a:ext cx="1901205" cy="84914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RI Consolidado por</a:t>
          </a:r>
          <a:r>
            <a:rPr lang="es-CO" sz="1400" baseline="0">
              <a:solidFill>
                <a:schemeClr val="bg1"/>
              </a:solidFill>
              <a:latin typeface="Candara" panose="020E0502030303020204" pitchFamily="34" charset="0"/>
            </a:rPr>
            <a:t> FR</a:t>
          </a:r>
          <a:endParaRPr lang="es-CO" sz="1400">
            <a:solidFill>
              <a:schemeClr val="bg1"/>
            </a:solidFill>
            <a:latin typeface="Candara" panose="020E0502030303020204" pitchFamily="34" charset="0"/>
          </a:endParaRPr>
        </a:p>
      </xdr:txBody>
    </xdr:sp>
    <xdr:clientData/>
  </xdr:twoCellAnchor>
  <xdr:twoCellAnchor>
    <xdr:from>
      <xdr:col>4</xdr:col>
      <xdr:colOff>1381126</xdr:colOff>
      <xdr:row>3</xdr:row>
      <xdr:rowOff>459200</xdr:rowOff>
    </xdr:from>
    <xdr:to>
      <xdr:col>4</xdr:col>
      <xdr:colOff>3282332</xdr:colOff>
      <xdr:row>3</xdr:row>
      <xdr:rowOff>1264354</xdr:rowOff>
    </xdr:to>
    <xdr:sp macro="[0]!Macro1" textlink="">
      <xdr:nvSpPr>
        <xdr:cNvPr id="9" name="38 Rectángulo redondeado">
          <a:hlinkClick xmlns:r="http://schemas.openxmlformats.org/officeDocument/2006/relationships" r:id="rId1"/>
          <a:extLst>
            <a:ext uri="{FF2B5EF4-FFF2-40B4-BE49-F238E27FC236}">
              <a16:creationId xmlns:a16="http://schemas.microsoft.com/office/drawing/2014/main" id="{00000000-0008-0000-0100-000009000000}"/>
            </a:ext>
          </a:extLst>
        </xdr:cNvPr>
        <xdr:cNvSpPr/>
      </xdr:nvSpPr>
      <xdr:spPr>
        <a:xfrm>
          <a:off x="4657726" y="1002125"/>
          <a:ext cx="1901206"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Puntuaciones</a:t>
          </a:r>
        </a:p>
      </xdr:txBody>
    </xdr:sp>
    <xdr:clientData/>
  </xdr:twoCellAnchor>
  <xdr:twoCellAnchor>
    <xdr:from>
      <xdr:col>2</xdr:col>
      <xdr:colOff>738868</xdr:colOff>
      <xdr:row>3</xdr:row>
      <xdr:rowOff>450396</xdr:rowOff>
    </xdr:from>
    <xdr:to>
      <xdr:col>4</xdr:col>
      <xdr:colOff>1007217</xdr:colOff>
      <xdr:row>3</xdr:row>
      <xdr:rowOff>1255550</xdr:rowOff>
    </xdr:to>
    <xdr:sp macro="[0]!Macro1" textlink="">
      <xdr:nvSpPr>
        <xdr:cNvPr id="10" name="38 Rectángulo redondeado">
          <a:hlinkClick xmlns:r="http://schemas.openxmlformats.org/officeDocument/2006/relationships" r:id="rId2"/>
          <a:extLst>
            <a:ext uri="{FF2B5EF4-FFF2-40B4-BE49-F238E27FC236}">
              <a16:creationId xmlns:a16="http://schemas.microsoft.com/office/drawing/2014/main" id="{00000000-0008-0000-0100-00000A000000}"/>
            </a:ext>
          </a:extLst>
        </xdr:cNvPr>
        <xdr:cNvSpPr/>
      </xdr:nvSpPr>
      <xdr:spPr>
        <a:xfrm>
          <a:off x="2377168" y="993321"/>
          <a:ext cx="1906649" cy="805154"/>
        </a:xfrm>
        <a:prstGeom prst="roundRect">
          <a:avLst/>
        </a:prstGeom>
        <a:solidFill>
          <a:srgbClr val="980B27"/>
        </a:solidFill>
        <a:ln w="19050">
          <a:noFill/>
        </a:ln>
        <a:effectLst>
          <a:innerShdw blurRad="63500" dist="50800" dir="16200000">
            <a:prstClr val="black">
              <a:alpha val="50000"/>
            </a:prstClr>
          </a:innerShdw>
          <a:softEdge rad="12700"/>
        </a:effectLst>
        <a:scene3d>
          <a:camera prst="orthographicFront"/>
          <a:lightRig rig="threePt" dir="t"/>
        </a:scene3d>
        <a:sp3d>
          <a:bevelT/>
        </a:sp3d>
      </xdr:spPr>
      <xdr:style>
        <a:lnRef idx="3">
          <a:schemeClr val="lt1"/>
        </a:lnRef>
        <a:fillRef idx="1">
          <a:schemeClr val="accent1"/>
        </a:fillRef>
        <a:effectRef idx="1">
          <a:schemeClr val="accent1"/>
        </a:effectRef>
        <a:fontRef idx="minor">
          <a:schemeClr val="lt1"/>
        </a:fontRef>
      </xdr:style>
      <xdr:txBody>
        <a:bodyPr vertOverflow="clip" horzOverflow="clip" rtlCol="0" anchor="ctr"/>
        <a:lstStyle/>
        <a:p>
          <a:pPr algn="ctr"/>
          <a:r>
            <a:rPr lang="es-CO" sz="1400">
              <a:solidFill>
                <a:schemeClr val="bg1"/>
              </a:solidFill>
              <a:latin typeface="Candara" panose="020E0502030303020204" pitchFamily="34" charset="0"/>
            </a:rPr>
            <a:t>Tablas</a:t>
          </a:r>
        </a:p>
      </xdr:txBody>
    </xdr:sp>
    <xdr:clientData/>
  </xdr:twoCellAnchor>
  <xdr:twoCellAnchor editAs="oneCell">
    <xdr:from>
      <xdr:col>4</xdr:col>
      <xdr:colOff>4531179</xdr:colOff>
      <xdr:row>0</xdr:row>
      <xdr:rowOff>0</xdr:rowOff>
    </xdr:from>
    <xdr:to>
      <xdr:col>4</xdr:col>
      <xdr:colOff>6674757</xdr:colOff>
      <xdr:row>3</xdr:row>
      <xdr:rowOff>1194163</xdr:rowOff>
    </xdr:to>
    <xdr:pic>
      <xdr:nvPicPr>
        <xdr:cNvPr id="11" name="Imagen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807779" y="0"/>
          <a:ext cx="2143578" cy="1737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161925</xdr:colOff>
      <xdr:row>0</xdr:row>
      <xdr:rowOff>142875</xdr:rowOff>
    </xdr:from>
    <xdr:to>
      <xdr:col>1</xdr:col>
      <xdr:colOff>1323974</xdr:colOff>
      <xdr:row>0</xdr:row>
      <xdr:rowOff>457200</xdr:rowOff>
    </xdr:to>
    <xdr:sp macro="[0]!Macro7" textlink="">
      <xdr:nvSpPr>
        <xdr:cNvPr id="2" name="1 Pentágono">
          <a:extLst>
            <a:ext uri="{FF2B5EF4-FFF2-40B4-BE49-F238E27FC236}">
              <a16:creationId xmlns:a16="http://schemas.microsoft.com/office/drawing/2014/main" id="{00000000-0008-0000-0200-000002000000}"/>
            </a:ext>
          </a:extLst>
        </xdr:cNvPr>
        <xdr:cNvSpPr/>
      </xdr:nvSpPr>
      <xdr:spPr>
        <a:xfrm flipH="1">
          <a:off x="161925" y="142875"/>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1</xdr:col>
      <xdr:colOff>1314450</xdr:colOff>
      <xdr:row>0</xdr:row>
      <xdr:rowOff>19050</xdr:rowOff>
    </xdr:from>
    <xdr:to>
      <xdr:col>1</xdr:col>
      <xdr:colOff>2200275</xdr:colOff>
      <xdr:row>0</xdr:row>
      <xdr:rowOff>685799</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3525" y="19050"/>
          <a:ext cx="885825" cy="666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100853</xdr:colOff>
      <xdr:row>0</xdr:row>
      <xdr:rowOff>78441</xdr:rowOff>
    </xdr:from>
    <xdr:to>
      <xdr:col>2</xdr:col>
      <xdr:colOff>484653</xdr:colOff>
      <xdr:row>0</xdr:row>
      <xdr:rowOff>392766</xdr:rowOff>
    </xdr:to>
    <xdr:sp macro="[0]!Macro7" textlink="">
      <xdr:nvSpPr>
        <xdr:cNvPr id="3" name="1 Pentágono">
          <a:extLst>
            <a:ext uri="{FF2B5EF4-FFF2-40B4-BE49-F238E27FC236}">
              <a16:creationId xmlns:a16="http://schemas.microsoft.com/office/drawing/2014/main" id="{00000000-0008-0000-0300-000003000000}"/>
            </a:ext>
          </a:extLst>
        </xdr:cNvPr>
        <xdr:cNvSpPr/>
      </xdr:nvSpPr>
      <xdr:spPr>
        <a:xfrm flipH="1">
          <a:off x="100853" y="78441"/>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523875</xdr:colOff>
      <xdr:row>0</xdr:row>
      <xdr:rowOff>0</xdr:rowOff>
    </xdr:from>
    <xdr:to>
      <xdr:col>3</xdr:col>
      <xdr:colOff>266700</xdr:colOff>
      <xdr:row>1</xdr:row>
      <xdr:rowOff>161925</xdr:rowOff>
    </xdr:to>
    <xdr:pic>
      <xdr:nvPicPr>
        <xdr:cNvPr id="4" name="Imagen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4475" y="0"/>
          <a:ext cx="847725" cy="676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2</xdr:col>
      <xdr:colOff>1266824</xdr:colOff>
      <xdr:row>1</xdr:row>
      <xdr:rowOff>247650</xdr:rowOff>
    </xdr:to>
    <xdr:sp macro="[0]!Macro7" textlink="">
      <xdr:nvSpPr>
        <xdr:cNvPr id="5" name="1 Pentágono">
          <a:extLst>
            <a:ext uri="{FF2B5EF4-FFF2-40B4-BE49-F238E27FC236}">
              <a16:creationId xmlns:a16="http://schemas.microsoft.com/office/drawing/2014/main" id="{00000000-0008-0000-0900-000005000000}"/>
            </a:ext>
          </a:extLst>
        </xdr:cNvPr>
        <xdr:cNvSpPr/>
      </xdr:nvSpPr>
      <xdr:spPr>
        <a:xfrm flipH="1">
          <a:off x="152400" y="9525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27</xdr:col>
      <xdr:colOff>462643</xdr:colOff>
      <xdr:row>0</xdr:row>
      <xdr:rowOff>0</xdr:rowOff>
    </xdr:from>
    <xdr:to>
      <xdr:col>29</xdr:col>
      <xdr:colOff>68036</xdr:colOff>
      <xdr:row>1</xdr:row>
      <xdr:rowOff>734785</xdr:rowOff>
    </xdr:to>
    <xdr:pic>
      <xdr:nvPicPr>
        <xdr:cNvPr id="3" name="Imagen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05964" y="0"/>
          <a:ext cx="1224643" cy="8980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0</xdr:rowOff>
    </xdr:from>
    <xdr:to>
      <xdr:col>2</xdr:col>
      <xdr:colOff>1266824</xdr:colOff>
      <xdr:row>0</xdr:row>
      <xdr:rowOff>0</xdr:rowOff>
    </xdr:to>
    <xdr:sp macro="[0]!Macro7" textlink="">
      <xdr:nvSpPr>
        <xdr:cNvPr id="2" name="1 Pentágono">
          <a:extLst>
            <a:ext uri="{FF2B5EF4-FFF2-40B4-BE49-F238E27FC236}">
              <a16:creationId xmlns:a16="http://schemas.microsoft.com/office/drawing/2014/main" id="{00000000-0008-0000-0A00-000002000000}"/>
            </a:ext>
          </a:extLst>
        </xdr:cNvPr>
        <xdr:cNvSpPr/>
      </xdr:nvSpPr>
      <xdr:spPr>
        <a:xfrm flipH="1">
          <a:off x="152400" y="95250"/>
          <a:ext cx="220027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0</xdr:row>
      <xdr:rowOff>152400</xdr:rowOff>
    </xdr:from>
    <xdr:to>
      <xdr:col>1</xdr:col>
      <xdr:colOff>819149</xdr:colOff>
      <xdr:row>2</xdr:row>
      <xdr:rowOff>85725</xdr:rowOff>
    </xdr:to>
    <xdr:sp macro="[0]!Macro7" textlink="">
      <xdr:nvSpPr>
        <xdr:cNvPr id="3" name="1 Pentágono">
          <a:extLst>
            <a:ext uri="{FF2B5EF4-FFF2-40B4-BE49-F238E27FC236}">
              <a16:creationId xmlns:a16="http://schemas.microsoft.com/office/drawing/2014/main" id="{00000000-0008-0000-0B00-000003000000}"/>
            </a:ext>
          </a:extLst>
        </xdr:cNvPr>
        <xdr:cNvSpPr/>
      </xdr:nvSpPr>
      <xdr:spPr>
        <a:xfrm flipH="1">
          <a:off x="209550" y="15240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1</xdr:col>
      <xdr:colOff>838200</xdr:colOff>
      <xdr:row>0</xdr:row>
      <xdr:rowOff>19050</xdr:rowOff>
    </xdr:from>
    <xdr:to>
      <xdr:col>1</xdr:col>
      <xdr:colOff>1647825</xdr:colOff>
      <xdr:row>3</xdr:row>
      <xdr:rowOff>76200</xdr:rowOff>
    </xdr:to>
    <xdr:pic>
      <xdr:nvPicPr>
        <xdr:cNvPr id="6" name="Imagen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19050"/>
          <a:ext cx="809625" cy="6286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2</xdr:col>
      <xdr:colOff>276224</xdr:colOff>
      <xdr:row>2</xdr:row>
      <xdr:rowOff>66675</xdr:rowOff>
    </xdr:to>
    <xdr:sp macro="[0]!Macro7" textlink="">
      <xdr:nvSpPr>
        <xdr:cNvPr id="3" name="1 Pentágono">
          <a:extLst>
            <a:ext uri="{FF2B5EF4-FFF2-40B4-BE49-F238E27FC236}">
              <a16:creationId xmlns:a16="http://schemas.microsoft.com/office/drawing/2014/main" id="{00000000-0008-0000-0C00-000003000000}"/>
            </a:ext>
          </a:extLst>
        </xdr:cNvPr>
        <xdr:cNvSpPr/>
      </xdr:nvSpPr>
      <xdr:spPr>
        <a:xfrm flipH="1">
          <a:off x="180975" y="7620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281608</xdr:colOff>
      <xdr:row>0</xdr:row>
      <xdr:rowOff>0</xdr:rowOff>
    </xdr:from>
    <xdr:to>
      <xdr:col>2</xdr:col>
      <xdr:colOff>1051892</xdr:colOff>
      <xdr:row>4</xdr:row>
      <xdr:rowOff>16565</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65412" y="0"/>
          <a:ext cx="770284" cy="5797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1120</xdr:colOff>
      <xdr:row>0</xdr:row>
      <xdr:rowOff>145677</xdr:rowOff>
    </xdr:from>
    <xdr:to>
      <xdr:col>2</xdr:col>
      <xdr:colOff>403410</xdr:colOff>
      <xdr:row>2</xdr:row>
      <xdr:rowOff>79002</xdr:rowOff>
    </xdr:to>
    <xdr:sp macro="[0]!Macro7" textlink="">
      <xdr:nvSpPr>
        <xdr:cNvPr id="5" name="1 Pentágono">
          <a:extLst>
            <a:ext uri="{FF2B5EF4-FFF2-40B4-BE49-F238E27FC236}">
              <a16:creationId xmlns:a16="http://schemas.microsoft.com/office/drawing/2014/main" id="{00000000-0008-0000-0D00-000005000000}"/>
            </a:ext>
          </a:extLst>
        </xdr:cNvPr>
        <xdr:cNvSpPr/>
      </xdr:nvSpPr>
      <xdr:spPr>
        <a:xfrm flipH="1">
          <a:off x="146796" y="145677"/>
          <a:ext cx="1153085"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editAs="oneCell">
    <xdr:from>
      <xdr:col>2</xdr:col>
      <xdr:colOff>403411</xdr:colOff>
      <xdr:row>0</xdr:row>
      <xdr:rowOff>0</xdr:rowOff>
    </xdr:from>
    <xdr:to>
      <xdr:col>3</xdr:col>
      <xdr:colOff>224117</xdr:colOff>
      <xdr:row>3</xdr:row>
      <xdr:rowOff>89647</xdr:rowOff>
    </xdr:to>
    <xdr:pic>
      <xdr:nvPicPr>
        <xdr:cNvPr id="3" name="Imagen 2">
          <a:extLst>
            <a:ext uri="{FF2B5EF4-FFF2-40B4-BE49-F238E27FC236}">
              <a16:creationId xmlns:a16="http://schemas.microsoft.com/office/drawing/2014/main" id="{00000000-0008-0000-0D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9882" y="0"/>
          <a:ext cx="1064559" cy="762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228600</xdr:colOff>
      <xdr:row>0</xdr:row>
      <xdr:rowOff>133350</xdr:rowOff>
    </xdr:from>
    <xdr:to>
      <xdr:col>1</xdr:col>
      <xdr:colOff>1066799</xdr:colOff>
      <xdr:row>2</xdr:row>
      <xdr:rowOff>66675</xdr:rowOff>
    </xdr:to>
    <xdr:sp macro="[0]!Macro7" textlink="">
      <xdr:nvSpPr>
        <xdr:cNvPr id="4" name="1 Pentágono">
          <a:extLst>
            <a:ext uri="{FF2B5EF4-FFF2-40B4-BE49-F238E27FC236}">
              <a16:creationId xmlns:a16="http://schemas.microsoft.com/office/drawing/2014/main" id="{00000000-0008-0000-0E00-000004000000}"/>
            </a:ext>
          </a:extLst>
        </xdr:cNvPr>
        <xdr:cNvSpPr/>
      </xdr:nvSpPr>
      <xdr:spPr>
        <a:xfrm flipH="1">
          <a:off x="228600" y="133350"/>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xdr:from>
      <xdr:col>6</xdr:col>
      <xdr:colOff>744903</xdr:colOff>
      <xdr:row>12</xdr:row>
      <xdr:rowOff>21</xdr:rowOff>
    </xdr:from>
    <xdr:to>
      <xdr:col>10</xdr:col>
      <xdr:colOff>0</xdr:colOff>
      <xdr:row>12</xdr:row>
      <xdr:rowOff>21</xdr:rowOff>
    </xdr:to>
    <xdr:cxnSp macro="">
      <xdr:nvCxnSpPr>
        <xdr:cNvPr id="3" name="Conector recto 2">
          <a:extLst>
            <a:ext uri="{FF2B5EF4-FFF2-40B4-BE49-F238E27FC236}">
              <a16:creationId xmlns:a16="http://schemas.microsoft.com/office/drawing/2014/main" id="{00000000-0008-0000-0E00-000003000000}"/>
            </a:ext>
          </a:extLst>
        </xdr:cNvPr>
        <xdr:cNvCxnSpPr/>
      </xdr:nvCxnSpPr>
      <xdr:spPr>
        <a:xfrm flipH="1">
          <a:off x="20023503" y="2819421"/>
          <a:ext cx="4046172" cy="0"/>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1095375</xdr:colOff>
      <xdr:row>0</xdr:row>
      <xdr:rowOff>0</xdr:rowOff>
    </xdr:from>
    <xdr:to>
      <xdr:col>1</xdr:col>
      <xdr:colOff>2038350</xdr:colOff>
      <xdr:row>3</xdr:row>
      <xdr:rowOff>114300</xdr:rowOff>
    </xdr:to>
    <xdr:pic>
      <xdr:nvPicPr>
        <xdr:cNvPr id="5" name="Imagen 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8300" y="0"/>
          <a:ext cx="942975" cy="6858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511629</xdr:colOff>
      <xdr:row>5</xdr:row>
      <xdr:rowOff>43543</xdr:rowOff>
    </xdr:from>
    <xdr:to>
      <xdr:col>7</xdr:col>
      <xdr:colOff>375558</xdr:colOff>
      <xdr:row>28</xdr:row>
      <xdr:rowOff>121103</xdr:rowOff>
    </xdr:to>
    <xdr:graphicFrame macro="">
      <xdr:nvGraphicFramePr>
        <xdr:cNvPr id="6" name="5 Gráfico">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718458</xdr:colOff>
      <xdr:row>3</xdr:row>
      <xdr:rowOff>163286</xdr:rowOff>
    </xdr:from>
    <xdr:to>
      <xdr:col>16</xdr:col>
      <xdr:colOff>54429</xdr:colOff>
      <xdr:row>28</xdr:row>
      <xdr:rowOff>84364</xdr:rowOff>
    </xdr:to>
    <xdr:graphicFrame macro="">
      <xdr:nvGraphicFramePr>
        <xdr:cNvPr id="7" name="6 Gráfico">
          <a:extLst>
            <a:ext uri="{FF2B5EF4-FFF2-40B4-BE49-F238E27FC236}">
              <a16:creationId xmlns:a16="http://schemas.microsoft.com/office/drawing/2014/main"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666752</xdr:colOff>
      <xdr:row>5</xdr:row>
      <xdr:rowOff>68036</xdr:rowOff>
    </xdr:from>
    <xdr:to>
      <xdr:col>23</xdr:col>
      <xdr:colOff>748393</xdr:colOff>
      <xdr:row>28</xdr:row>
      <xdr:rowOff>186418</xdr:rowOff>
    </xdr:to>
    <xdr:graphicFrame macro="">
      <xdr:nvGraphicFramePr>
        <xdr:cNvPr id="9" name="8 Gráfico">
          <a:extLst>
            <a:ext uri="{FF2B5EF4-FFF2-40B4-BE49-F238E27FC236}">
              <a16:creationId xmlns:a16="http://schemas.microsoft.com/office/drawing/2014/main" id="{00000000-0008-0000-0F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484910</xdr:colOff>
      <xdr:row>36</xdr:row>
      <xdr:rowOff>173182</xdr:rowOff>
    </xdr:from>
    <xdr:to>
      <xdr:col>7</xdr:col>
      <xdr:colOff>348839</xdr:colOff>
      <xdr:row>59</xdr:row>
      <xdr:rowOff>112197</xdr:rowOff>
    </xdr:to>
    <xdr:graphicFrame macro="">
      <xdr:nvGraphicFramePr>
        <xdr:cNvPr id="8" name="7 Gráfico">
          <a:extLst>
            <a:ext uri="{FF2B5EF4-FFF2-40B4-BE49-F238E27FC236}">
              <a16:creationId xmlns:a16="http://schemas.microsoft.com/office/drawing/2014/main"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671166</xdr:colOff>
      <xdr:row>36</xdr:row>
      <xdr:rowOff>155863</xdr:rowOff>
    </xdr:from>
    <xdr:to>
      <xdr:col>15</xdr:col>
      <xdr:colOff>711986</xdr:colOff>
      <xdr:row>59</xdr:row>
      <xdr:rowOff>166997</xdr:rowOff>
    </xdr:to>
    <xdr:graphicFrame macro="">
      <xdr:nvGraphicFramePr>
        <xdr:cNvPr id="10" name="9 Gráfico">
          <a:extLst>
            <a:ext uri="{FF2B5EF4-FFF2-40B4-BE49-F238E27FC236}">
              <a16:creationId xmlns:a16="http://schemas.microsoft.com/office/drawing/2014/main" id="{00000000-0008-0000-0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37</xdr:row>
      <xdr:rowOff>0</xdr:rowOff>
    </xdr:from>
    <xdr:to>
      <xdr:col>24</xdr:col>
      <xdr:colOff>54428</xdr:colOff>
      <xdr:row>59</xdr:row>
      <xdr:rowOff>170337</xdr:rowOff>
    </xdr:to>
    <xdr:graphicFrame macro="">
      <xdr:nvGraphicFramePr>
        <xdr:cNvPr id="16" name="10 Gráfico">
          <a:extLst>
            <a:ext uri="{FF2B5EF4-FFF2-40B4-BE49-F238E27FC236}">
              <a16:creationId xmlns:a16="http://schemas.microsoft.com/office/drawing/2014/main" id="{00000000-0008-0000-0F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367393</xdr:colOff>
      <xdr:row>2</xdr:row>
      <xdr:rowOff>40822</xdr:rowOff>
    </xdr:from>
    <xdr:to>
      <xdr:col>2</xdr:col>
      <xdr:colOff>197303</xdr:colOff>
      <xdr:row>3</xdr:row>
      <xdr:rowOff>164647</xdr:rowOff>
    </xdr:to>
    <xdr:sp macro="[0]!Macro7" textlink="">
      <xdr:nvSpPr>
        <xdr:cNvPr id="11" name="1 Pentágono">
          <a:extLst>
            <a:ext uri="{FF2B5EF4-FFF2-40B4-BE49-F238E27FC236}">
              <a16:creationId xmlns:a16="http://schemas.microsoft.com/office/drawing/2014/main" id="{00000000-0008-0000-0F00-00000B000000}"/>
            </a:ext>
          </a:extLst>
        </xdr:cNvPr>
        <xdr:cNvSpPr/>
      </xdr:nvSpPr>
      <xdr:spPr>
        <a:xfrm flipH="1">
          <a:off x="367393" y="449036"/>
          <a:ext cx="1381124" cy="314325"/>
        </a:xfrm>
        <a:prstGeom prst="homePlate">
          <a:avLst/>
        </a:prstGeom>
        <a:solidFill>
          <a:srgbClr val="980B27"/>
        </a:solidFill>
        <a:ln>
          <a:solidFill>
            <a:srgbClr val="980B2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latin typeface="Candara" panose="020E0502030303020204" pitchFamily="34" charset="0"/>
            </a:rPr>
            <a:t>Contenido</a:t>
          </a:r>
          <a:endParaRPr lang="es-CO" sz="1200">
            <a:latin typeface="Candara" panose="020E0502030303020204" pitchFamily="34" charset="0"/>
          </a:endParaRPr>
        </a:p>
      </xdr:txBody>
    </xdr:sp>
    <xdr:clientData/>
  </xdr:twoCellAnchor>
  <xdr:twoCellAnchor>
    <xdr:from>
      <xdr:col>26</xdr:col>
      <xdr:colOff>517071</xdr:colOff>
      <xdr:row>4</xdr:row>
      <xdr:rowOff>163287</xdr:rowOff>
    </xdr:from>
    <xdr:to>
      <xdr:col>33</xdr:col>
      <xdr:colOff>748392</xdr:colOff>
      <xdr:row>27</xdr:row>
      <xdr:rowOff>176893</xdr:rowOff>
    </xdr:to>
    <xdr:graphicFrame macro="">
      <xdr:nvGraphicFramePr>
        <xdr:cNvPr id="12" name="Gráfico 11">
          <a:extLst>
            <a:ext uri="{FF2B5EF4-FFF2-40B4-BE49-F238E27FC236}">
              <a16:creationId xmlns:a16="http://schemas.microsoft.com/office/drawing/2014/main" id="{00000000-0008-0000-0F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571499</xdr:colOff>
      <xdr:row>38</xdr:row>
      <xdr:rowOff>40820</xdr:rowOff>
    </xdr:from>
    <xdr:to>
      <xdr:col>34</xdr:col>
      <xdr:colOff>81642</xdr:colOff>
      <xdr:row>60</xdr:row>
      <xdr:rowOff>81641</xdr:rowOff>
    </xdr:to>
    <xdr:graphicFrame macro="">
      <xdr:nvGraphicFramePr>
        <xdr:cNvPr id="13" name="Gráfico 12">
          <a:extLst>
            <a:ext uri="{FF2B5EF4-FFF2-40B4-BE49-F238E27FC236}">
              <a16:creationId xmlns:a16="http://schemas.microsoft.com/office/drawing/2014/main" id="{00000000-0008-0000-0F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272143</xdr:colOff>
      <xdr:row>1</xdr:row>
      <xdr:rowOff>149678</xdr:rowOff>
    </xdr:from>
    <xdr:to>
      <xdr:col>3</xdr:col>
      <xdr:colOff>210911</xdr:colOff>
      <xdr:row>4</xdr:row>
      <xdr:rowOff>59871</xdr:rowOff>
    </xdr:to>
    <xdr:pic>
      <xdr:nvPicPr>
        <xdr:cNvPr id="15" name="Imagen 14">
          <a:extLst>
            <a:ext uri="{FF2B5EF4-FFF2-40B4-BE49-F238E27FC236}">
              <a16:creationId xmlns:a16="http://schemas.microsoft.com/office/drawing/2014/main" id="{00000000-0008-0000-0F00-00000F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823357" y="353785"/>
          <a:ext cx="714375" cy="495300"/>
        </a:xfrm>
        <a:prstGeom prst="rect">
          <a:avLst/>
        </a:prstGeom>
      </xdr:spPr>
    </xdr:pic>
    <xdr:clientData/>
  </xdr:twoCellAnchor>
</xdr:wsDr>
</file>

<file path=xl/tables/table1.xml><?xml version="1.0" encoding="utf-8"?>
<table xmlns="http://schemas.openxmlformats.org/spreadsheetml/2006/main" id="1" name="Tabla1" displayName="Tabla1" ref="B2:C21" headerRowDxfId="239" dataDxfId="238" headerRowCellStyle="Normal" dataCellStyle="Normal" totalsRowCellStyle="Normal">
  <autoFilter ref="B2:C21"/>
  <tableColumns count="2">
    <tableColumn id="1" name="Procesos/Áreas de Práctica" dataDxfId="237" totalsRowDxfId="236" dataCellStyle="Normal"/>
    <tableColumn id="3" name="Código proceso" totalsRowFunction="custom" dataDxfId="235" totalsRowDxfId="234" dataCellStyle="Normal">
      <totalsRowFormula>" "</totalsRowFormula>
    </tableColumn>
  </tableColumns>
  <tableStyleInfo name="BM" showFirstColumn="0" showLastColumn="0" showRowStripes="1" showColumnStripes="0"/>
</table>
</file>

<file path=xl/tables/table2.xml><?xml version="1.0" encoding="utf-8"?>
<table xmlns="http://schemas.openxmlformats.org/spreadsheetml/2006/main" id="3" name="Tableau3" displayName="Tableau3" ref="E2:F29" totalsRowShown="0" headerRowDxfId="233" dataDxfId="232" headerRowCellStyle="Normal" dataCellStyle="Normal">
  <autoFilter ref="E2:F29"/>
  <tableColumns count="2">
    <tableColumn id="1" name="Subproceso" dataDxfId="231" dataCellStyle="Normal"/>
    <tableColumn id="2" name="Código subproceso" dataDxfId="230" dataCellStyle="Normal"/>
  </tableColumns>
  <tableStyleInfo name="BM" showFirstColumn="0" showLastColumn="0" showRowStripes="1" showColumnStripes="0"/>
</table>
</file>

<file path=xl/tables/table3.xml><?xml version="1.0" encoding="utf-8"?>
<table xmlns="http://schemas.openxmlformats.org/spreadsheetml/2006/main" id="5" name="Tableau5" displayName="Tableau5" ref="B23:C27" totalsRowShown="0" headerRowDxfId="229" dataDxfId="228">
  <autoFilter ref="B23:C27"/>
  <tableColumns count="2">
    <tableColumn id="1" name="Tipo riesgo" dataDxfId="227"/>
    <tableColumn id="2" name="Código riesgo" dataDxfId="226"/>
  </tableColumns>
  <tableStyleInfo name="BM" showFirstColumn="0" showLastColumn="0" showRowStripes="1" showColumnStripes="0"/>
</table>
</file>

<file path=xl/tables/table4.xml><?xml version="1.0" encoding="utf-8"?>
<table xmlns="http://schemas.openxmlformats.org/spreadsheetml/2006/main" id="8" name="Tableau8" displayName="Tableau8" ref="B29:C33" totalsRowShown="0" headerRowDxfId="225" dataDxfId="224" headerRowCellStyle="Normal" dataCellStyle="Normal">
  <autoFilter ref="B29:C33"/>
  <tableColumns count="2">
    <tableColumn id="1" name="Nivel de riesgo" dataDxfId="223" dataCellStyle="Normal"/>
    <tableColumn id="2" name="Tratamiento" dataDxfId="222" dataCellStyle="Normal"/>
  </tableColumns>
  <tableStyleInfo name="BM" showFirstColumn="0" showLastColumn="0" showRowStripes="1" showColumnStripes="0"/>
</table>
</file>

<file path=xl/tables/table5.xml><?xml version="1.0" encoding="utf-8"?>
<table xmlns="http://schemas.openxmlformats.org/spreadsheetml/2006/main" id="6" name="Tableau68" displayName="Tableau68" ref="B35:B38" totalsRowShown="0" headerRowDxfId="221" dataDxfId="220">
  <tableColumns count="1">
    <tableColumn id="1" name="Estado de acciones" dataDxfId="219"/>
  </tableColumns>
  <tableStyleInfo name="BM" showFirstColumn="0" showLastColumn="0" showRowStripes="1" showColumnStripes="0"/>
</table>
</file>

<file path=xl/tables/table6.xml><?xml version="1.0" encoding="utf-8"?>
<table xmlns="http://schemas.openxmlformats.org/spreadsheetml/2006/main" id="2" name="Tabla2" displayName="Tabla2" ref="H2:I14" totalsRowShown="0" headerRowDxfId="218" dataDxfId="217" headerRowCellStyle="Normal" dataCellStyle="Normal">
  <autoFilter ref="H2:I14"/>
  <tableColumns count="2">
    <tableColumn id="1" name="Factores de Riesgo" dataDxfId="216" dataCellStyle="Normal"/>
    <tableColumn id="2" name="Código Factor" dataDxfId="215" dataCellStyle="Normal"/>
  </tableColumns>
  <tableStyleInfo name="BM" showFirstColumn="0" showLastColumn="0" showRowStripes="1" showColumnStripes="0"/>
</table>
</file>

<file path=xl/tables/table7.xml><?xml version="1.0" encoding="utf-8"?>
<table xmlns="http://schemas.openxmlformats.org/spreadsheetml/2006/main" id="4" name="Tableau35" displayName="Tableau35" ref="I14:N25" totalsRowShown="0" headerRowDxfId="214" dataDxfId="213" headerRowCellStyle="Normal" dataCellStyle="Normal">
  <tableColumns count="6">
    <tableColumn id="1" name="COD" dataDxfId="212" dataCellStyle="Normal"/>
    <tableColumn id="2" name="RC" dataDxfId="211" dataCellStyle="Normal"/>
    <tableColumn id="3" name="RL" dataDxfId="210" dataCellStyle="Normal"/>
    <tableColumn id="4" name="RR" dataDxfId="209" dataCellStyle="Normal"/>
    <tableColumn id="5" name="RO" dataDxfId="208" dataCellStyle="Normal"/>
    <tableColumn id="6" name="CONSECUENCIAS" dataDxfId="207" dataCellStyle="Normal"/>
  </tableColumns>
  <tableStyleInfo name="BM" showFirstColumn="0" showLastColumn="0" showRowStripes="1" showColumnStripes="0"/>
</table>
</file>

<file path=xl/tables/table8.xml><?xml version="1.0" encoding="utf-8"?>
<table xmlns="http://schemas.openxmlformats.org/spreadsheetml/2006/main" id="14" name="Tabla14" displayName="Tabla14" ref="A1:H6" totalsRowShown="0">
  <autoFilter ref="A1:H6"/>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9.xml><?xml version="1.0" encoding="utf-8"?>
<table xmlns="http://schemas.openxmlformats.org/spreadsheetml/2006/main" id="16" name="Tabla16" displayName="Tabla16" ref="A1:H3" totalsRowShown="0">
  <autoFilter ref="A1:H3"/>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0.xml><?xml version="1.0" encoding="utf-8"?>
<table xmlns="http://schemas.openxmlformats.org/spreadsheetml/2006/main" id="17" name="Tabla17" displayName="Tabla17" ref="A1:H6" totalsRowShown="0">
  <autoFilter ref="A1:H6"/>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1.xml><?xml version="1.0" encoding="utf-8"?>
<table xmlns="http://schemas.openxmlformats.org/spreadsheetml/2006/main" id="18" name="Tabla18" displayName="Tabla18" ref="A1:H3" totalsRowShown="0">
  <autoFilter ref="A1:H3"/>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2.xml><?xml version="1.0" encoding="utf-8"?>
<table xmlns="http://schemas.openxmlformats.org/spreadsheetml/2006/main" id="19" name="Tabla19" displayName="Tabla19" ref="A1:H2" totalsRowShown="0">
  <autoFilter ref="A1:H2"/>
  <tableColumns count="8">
    <tableColumn id="1" name="Procesos/Áreas de práctica"/>
    <tableColumn id="2" name="Subproceso"/>
    <tableColumn id="3" name="No. Riesgo"/>
    <tableColumn id="4" name="Código evento"/>
    <tableColumn id="5" name="Factor de riesgo"/>
    <tableColumn id="6" name="Código proceso"/>
    <tableColumn id="7" name="Código riesgo"/>
    <tableColumn id="8" name="Evento de riesgo"/>
  </tableColumns>
  <tableStyleInfo name="TableStyleMedium2" showFirstColumn="0" showLastColumn="0" showRowStripes="1" showColumnStripes="0"/>
</table>
</file>

<file path=xl/tables/table13.xml><?xml version="1.0" encoding="utf-8"?>
<table xmlns="http://schemas.openxmlformats.org/spreadsheetml/2006/main" id="11" name="Tableau11" displayName="Tableau11" ref="B5:F10" totalsRowShown="0" headerRowDxfId="72" dataDxfId="70" headerRowBorderDxfId="71" tableBorderDxfId="69" headerRowCellStyle="Normal">
  <tableColumns count="5">
    <tableColumn id="1" name="FACTOR DE RIESGO" dataDxfId="68" dataCellStyle="Normal"/>
    <tableColumn id="2" name="PROBABILIDAD" dataDxfId="67" dataCellStyle="Normal">
      <calculatedColumnFormula>IFERROR(AVERAGEIF('R I'!$G$6:$G$1048576,Tableau11[[#This Row],[FACTOR DE RIESGO]],'R I'!Q$7:Q$1048576),"")</calculatedColumnFormula>
    </tableColumn>
    <tableColumn id="3" name="CONSECUENCIA" dataDxfId="66" dataCellStyle="Normal">
      <calculatedColumnFormula>IFERROR(AVERAGEIF('R I'!$G$6:$G$1048576,Tableau11[[#This Row],[FACTOR DE RIESGO]],'R I'!AA$7:AA$1048576),"")</calculatedColumnFormula>
    </tableColumn>
    <tableColumn id="4" name="VALORACION" dataDxfId="65" dataCellStyle="Normal">
      <calculatedColumnFormula>IFERROR(ROUND(C6*D6,0),"")</calculatedColumnFormula>
    </tableColumn>
    <tableColumn id="5" name="NIVEL DE RIESGO" dataDxfId="64" dataCellStyle="Normal">
      <calculatedColumnFormula>IF(AND(E6&gt;0,E6&lt;8),"BAJO",IF(AND(E6&gt;=8,E6&lt;14),"MEDIO",IF(AND(E6&gt;=14,E6&lt;20),"ALTO",IF(AND(E6&gt;=20,E6&lt;26),"EXTREMO",""))))</calculatedColumnFormula>
    </tableColumn>
  </tableColumns>
  <tableStyleInfo name="BM" showFirstColumn="0" showLastColumn="0" showRowStripes="1" showColumnStripes="0"/>
</table>
</file>

<file path=xl/tables/table14.xml><?xml version="1.0" encoding="utf-8"?>
<table xmlns="http://schemas.openxmlformats.org/spreadsheetml/2006/main" id="10" name="Tableau10" displayName="Tableau10" ref="H5:J20" totalsRowShown="0" headerRowDxfId="63" headerRowBorderDxfId="62" tableBorderDxfId="61">
  <tableColumns count="3">
    <tableColumn id="1" name="Procesos/Áreas de Práctica" dataDxfId="60"/>
    <tableColumn id="2" name="Probabilidad" dataDxfId="59">
      <calculatedColumnFormula>IFERROR(AVERAGEIF('R I'!$C$7:$C$1048576,Tableau10[[#This Row],[Procesos/Áreas de Práctica]],'R I'!$Q$7:$Q$1048576),0)</calculatedColumnFormula>
    </tableColumn>
    <tableColumn id="3" name="Valoración de la Consecuencia" dataDxfId="58">
      <calculatedColumnFormula>IFERROR(AVERAGEIF('R I'!$C$7:$C$1048576,Tableau10[[#This Row],[Procesos/Áreas de Práctica]],'R I'!$AA$7:$AA$1048576),0)</calculatedColumnFormula>
    </tableColumn>
  </tableColumns>
  <tableStyleInfo name="BM" showFirstColumn="0" showLastColumn="0" showRowStripes="1" showColumnStripes="0"/>
</table>
</file>

<file path=xl/tables/table15.xml><?xml version="1.0" encoding="utf-8"?>
<table xmlns="http://schemas.openxmlformats.org/spreadsheetml/2006/main" id="7" name="Tableau108" displayName="Tableau108" ref="L5:M9" totalsRowShown="0" headerRowDxfId="57" headerRowBorderDxfId="56" tableBorderDxfId="55">
  <tableColumns count="2">
    <tableColumn id="1" name="Riesgos asociados" dataDxfId="54">
      <calculatedColumnFormula>Tablas1!B24</calculatedColumnFormula>
    </tableColumn>
    <tableColumn id="3" name="Promedio" dataDxfId="53">
      <calculatedColumnFormula>IFERROR(AVERAGE('R I'!$W$7:$W$20),0)</calculatedColumnFormula>
    </tableColumn>
  </tableColumns>
  <tableStyleInfo name="BM" showFirstColumn="0" showLastColumn="0" showRowStripes="1" showColumnStripes="0"/>
</table>
</file>

<file path=xl/tables/table16.xml><?xml version="1.0" encoding="utf-8"?>
<table xmlns="http://schemas.openxmlformats.org/spreadsheetml/2006/main" id="12" name="Tableau12" displayName="Tableau12" ref="AC2:AE3" totalsRowShown="0" headerRowDxfId="31">
  <tableColumns count="3">
    <tableColumn id="1" name="Riesgo Residual" dataDxfId="30"/>
    <tableColumn id="2" name="Prob Conse Resid" dataDxfId="29">
      <calculatedColumnFormula>AVERAGE(T9:T1048576)</calculatedColumnFormula>
    </tableColumn>
    <tableColumn id="3" name="Val Conse Resid" dataDxfId="28">
      <calculatedColumnFormula>AVERAGE(U9:U1048576)</calculatedColumnFormula>
    </tableColumn>
  </tableColumns>
  <tableStyleInfo name="BM" showFirstColumn="0" showLastColumn="0" showRowStripes="1" showColumnStripes="0"/>
</table>
</file>

<file path=xl/tables/table17.xml><?xml version="1.0" encoding="utf-8"?>
<table xmlns="http://schemas.openxmlformats.org/spreadsheetml/2006/main" id="15" name="Tableau15" displayName="Tableau15" ref="B5:F10" totalsRowShown="0" headerRowDxfId="23" dataDxfId="22">
  <tableColumns count="5">
    <tableColumn id="1" name="FACTOR DE RIESGO" dataDxfId="21">
      <calculatedColumnFormula>Tablas1!H3</calculatedColumnFormula>
    </tableColumn>
    <tableColumn id="2" name="PROBABILIDAD" dataDxfId="20">
      <calculatedColumnFormula>IFERROR(AVERAGEIF('R R'!$E$7:$G$1048576,Tableau15[[#This Row],[FACTOR DE RIESGO]],'R R'!T$7:T$1048576),"")</calculatedColumnFormula>
    </tableColumn>
    <tableColumn id="3" name="CONSECUENCIA" dataDxfId="19">
      <calculatedColumnFormula>IFERROR(AVERAGEIF('R R'!$E$7:$G$1048576,Tableau15[[#This Row],[FACTOR DE RIESGO]],'R R'!U$7:U$1048576),"")</calculatedColumnFormula>
    </tableColumn>
    <tableColumn id="4" name="VALORACION" dataDxfId="18">
      <calculatedColumnFormula>IFERROR(ROUND(C6*D6,0),"")</calculatedColumnFormula>
    </tableColumn>
    <tableColumn id="5" name="NIVEL DE RIESGO" dataDxfId="17">
      <calculatedColumnFormula>IF(AND(E6&gt;0,E6&lt;8),"BAJO",IF(AND(E6&gt;=8,E6&lt;14),"MEDIO",IF(AND(E6&gt;=14,E6&lt;20),"ALTO",IF(AND(E6&gt;=20,E6&lt;26),"EXTREMO",""))))</calculatedColumnFormula>
    </tableColumn>
  </tableColumns>
  <tableStyleInfo name="BM" showFirstColumn="0" showLastColumn="0" showRowStripes="1" showColumnStripes="0"/>
</table>
</file>

<file path=xl/tables/table18.xml><?xml version="1.0" encoding="utf-8"?>
<table xmlns="http://schemas.openxmlformats.org/spreadsheetml/2006/main" id="13" name="Tableau13" displayName="Tableau13" ref="H5:J13" totalsRowShown="0" headerRowDxfId="16" dataDxfId="15" tableBorderDxfId="14">
  <autoFilter ref="H5:J13"/>
  <tableColumns count="3">
    <tableColumn id="1" name="Proceso/Área de práctica" dataDxfId="13"/>
    <tableColumn id="2" name="Probabilidad" dataDxfId="12">
      <calculatedColumnFormula>IFERROR(AVERAGEIF('R R'!$C$9:$C$1048576,Tableau13[[#This Row],[Proceso/Área de práctica]],'R R'!$T$9:$T$1048576),0)</calculatedColumnFormula>
    </tableColumn>
    <tableColumn id="3" name="Valoración" dataDxfId="11">
      <calculatedColumnFormula>IFERROR(AVERAGEIF('R R'!$C$9:$C$1048576,Tableau13[[#This Row],[Proceso/Área de práctica]],'R R'!$U$9:$U$1048576),0)</calculatedColumnFormula>
    </tableColumn>
  </tableColumns>
  <tableStyleInfo name="BM" showFirstColumn="0" showLastColumn="0" showRowStripes="1" showColumnStripes="0"/>
</table>
</file>

<file path=xl/tables/table19.xml><?xml version="1.0" encoding="utf-8"?>
<table xmlns="http://schemas.openxmlformats.org/spreadsheetml/2006/main" id="9" name="Tableau10810" displayName="Tableau10810" ref="L5:M9" totalsRowShown="0" headerRowDxfId="10" headerRowBorderDxfId="9" tableBorderDxfId="8">
  <tableColumns count="2">
    <tableColumn id="1" name="Riesgos asociados" dataDxfId="7">
      <calculatedColumnFormula>Tablas1!B24</calculatedColumnFormula>
    </tableColumn>
    <tableColumn id="3" name="Promedio" dataDxfId="6">
      <calculatedColumnFormula>IFERROR(AVERAGE('R R'!$L$9:$L$1048576),0)</calculatedColumnFormula>
    </tableColumn>
  </tableColumns>
  <tableStyleInfo name="BM"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8.xml"/></Relationships>
</file>

<file path=xl/worksheets/_rels/sheet6.xml.rels><?xml version="1.0" encoding="UTF-8" standalone="yes"?>
<Relationships xmlns="http://schemas.openxmlformats.org/package/2006/relationships"><Relationship Id="rId1"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table" Target="../tables/table15.xml"/><Relationship Id="rId4" Type="http://schemas.openxmlformats.org/officeDocument/2006/relationships/table" Target="../tables/table1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drawing" Target="../drawings/drawing10.xml"/><Relationship Id="rId4" Type="http://schemas.openxmlformats.org/officeDocument/2006/relationships/table" Target="../tables/table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29"/>
  <sheetViews>
    <sheetView showGridLines="0" showRowColHeaders="0" zoomScale="70" zoomScaleNormal="70" workbookViewId="0">
      <pane ySplit="27" topLeftCell="A28" activePane="bottomLeft" state="frozen"/>
      <selection pane="bottomLeft" activeCell="E27" sqref="E27"/>
    </sheetView>
  </sheetViews>
  <sheetFormatPr baseColWidth="10" defaultColWidth="0" defaultRowHeight="14.25" customHeight="1" zeroHeight="1" x14ac:dyDescent="0.3"/>
  <cols>
    <col min="1" max="4" width="12.21875" style="60" customWidth="1"/>
    <col min="5" max="5" width="100.77734375" style="60" customWidth="1"/>
    <col min="6" max="16384" width="12.21875" style="60" hidden="1"/>
  </cols>
  <sheetData>
    <row r="1" spans="1:5" ht="14.25" customHeight="1" x14ac:dyDescent="0.3">
      <c r="A1" s="62"/>
      <c r="B1" s="62"/>
      <c r="C1" s="62"/>
      <c r="D1" s="62"/>
      <c r="E1" s="62"/>
    </row>
    <row r="2" spans="1:5" ht="14.25" customHeight="1" x14ac:dyDescent="0.3">
      <c r="A2" s="62"/>
      <c r="B2" s="62"/>
      <c r="C2" s="62"/>
      <c r="D2" s="62"/>
      <c r="E2" s="62"/>
    </row>
    <row r="3" spans="1:5" ht="14.25" customHeight="1" x14ac:dyDescent="0.3">
      <c r="A3" s="62"/>
      <c r="B3" s="62"/>
      <c r="C3" s="62"/>
      <c r="D3" s="62"/>
      <c r="E3" s="62"/>
    </row>
    <row r="4" spans="1:5" ht="100.05" customHeight="1" x14ac:dyDescent="0.3">
      <c r="A4" s="62"/>
      <c r="B4" s="62"/>
      <c r="C4" s="62"/>
      <c r="D4" s="62"/>
      <c r="E4" s="62"/>
    </row>
    <row r="5" spans="1:5" ht="14.25" customHeight="1" x14ac:dyDescent="0.3">
      <c r="A5" s="62"/>
      <c r="B5" s="62"/>
      <c r="C5" s="62"/>
      <c r="D5" s="62"/>
      <c r="E5" s="62"/>
    </row>
    <row r="6" spans="1:5" ht="14.25" customHeight="1" x14ac:dyDescent="0.3">
      <c r="A6" s="62"/>
      <c r="B6" s="62"/>
      <c r="C6" s="62"/>
      <c r="D6" s="62"/>
      <c r="E6" s="62"/>
    </row>
    <row r="7" spans="1:5" ht="14.25" customHeight="1" x14ac:dyDescent="0.3">
      <c r="A7" s="63"/>
      <c r="B7" s="64"/>
      <c r="C7" s="62"/>
      <c r="D7" s="62"/>
      <c r="E7" s="62"/>
    </row>
    <row r="8" spans="1:5" ht="14.25" customHeight="1" x14ac:dyDescent="0.3">
      <c r="A8" s="65"/>
      <c r="B8" s="66"/>
      <c r="C8" s="62"/>
      <c r="D8" s="62"/>
      <c r="E8" s="62"/>
    </row>
    <row r="9" spans="1:5" ht="14.25" customHeight="1" x14ac:dyDescent="0.3">
      <c r="A9" s="62"/>
      <c r="B9" s="62"/>
      <c r="C9" s="62"/>
      <c r="D9" s="62"/>
      <c r="E9" s="62"/>
    </row>
    <row r="10" spans="1:5" ht="14.25" customHeight="1" x14ac:dyDescent="0.3">
      <c r="A10" s="62"/>
      <c r="B10" s="62"/>
      <c r="C10" s="62"/>
      <c r="D10" s="62"/>
      <c r="E10" s="62"/>
    </row>
    <row r="11" spans="1:5" ht="14.25" customHeight="1" x14ac:dyDescent="0.3">
      <c r="A11" s="62"/>
      <c r="B11" s="62"/>
      <c r="C11" s="62"/>
      <c r="D11" s="62"/>
      <c r="E11" s="62"/>
    </row>
    <row r="12" spans="1:5" ht="14.25" customHeight="1" x14ac:dyDescent="0.3">
      <c r="A12" s="62"/>
      <c r="B12" s="62"/>
      <c r="C12" s="62"/>
      <c r="D12" s="62"/>
      <c r="E12" s="62"/>
    </row>
    <row r="13" spans="1:5" ht="14.25" customHeight="1" x14ac:dyDescent="0.3">
      <c r="A13" s="62"/>
      <c r="B13" s="62"/>
      <c r="C13" s="62"/>
      <c r="D13" s="62"/>
      <c r="E13" s="62"/>
    </row>
    <row r="14" spans="1:5" ht="14.25" customHeight="1" x14ac:dyDescent="0.3">
      <c r="A14" s="62"/>
      <c r="B14" s="62"/>
      <c r="C14" s="62"/>
      <c r="D14" s="62"/>
      <c r="E14" s="62"/>
    </row>
    <row r="15" spans="1:5" ht="14.25" customHeight="1" x14ac:dyDescent="0.3">
      <c r="A15" s="62"/>
      <c r="B15" s="62"/>
      <c r="C15" s="62"/>
      <c r="D15" s="62"/>
      <c r="E15" s="62"/>
    </row>
    <row r="16" spans="1:5" ht="14.25" customHeight="1" x14ac:dyDescent="0.3">
      <c r="A16" s="62"/>
      <c r="B16" s="62"/>
      <c r="C16" s="62"/>
      <c r="D16" s="62"/>
      <c r="E16" s="62"/>
    </row>
    <row r="17" spans="1:5" ht="14.25" customHeight="1" x14ac:dyDescent="0.3">
      <c r="A17" s="62"/>
      <c r="B17" s="62"/>
      <c r="C17" s="62"/>
      <c r="D17" s="62"/>
      <c r="E17" s="62"/>
    </row>
    <row r="18" spans="1:5" ht="14.25" customHeight="1" x14ac:dyDescent="0.3">
      <c r="A18" s="62"/>
      <c r="B18" s="62"/>
      <c r="C18" s="62"/>
      <c r="D18" s="62"/>
      <c r="E18" s="62"/>
    </row>
    <row r="19" spans="1:5" ht="14.25" customHeight="1" x14ac:dyDescent="0.3">
      <c r="A19" s="62"/>
      <c r="B19" s="62"/>
      <c r="C19" s="62"/>
      <c r="D19" s="62"/>
      <c r="E19" s="62"/>
    </row>
    <row r="20" spans="1:5" ht="14.25" customHeight="1" x14ac:dyDescent="0.3">
      <c r="A20" s="62"/>
      <c r="B20" s="62"/>
      <c r="C20" s="62"/>
      <c r="D20" s="62"/>
      <c r="E20" s="62"/>
    </row>
    <row r="21" spans="1:5" ht="14.25" customHeight="1" x14ac:dyDescent="0.3">
      <c r="A21" s="62"/>
      <c r="B21" s="62"/>
      <c r="C21" s="62"/>
      <c r="D21" s="62"/>
      <c r="E21" s="62"/>
    </row>
    <row r="22" spans="1:5" ht="14.25" customHeight="1" x14ac:dyDescent="0.3">
      <c r="A22" s="62"/>
      <c r="B22" s="62"/>
      <c r="C22" s="62"/>
      <c r="D22" s="62"/>
      <c r="E22" s="62"/>
    </row>
    <row r="23" spans="1:5" ht="14.25" customHeight="1" x14ac:dyDescent="0.3">
      <c r="A23" s="62"/>
      <c r="B23" s="62"/>
      <c r="C23" s="62"/>
      <c r="D23" s="62"/>
      <c r="E23" s="62"/>
    </row>
    <row r="24" spans="1:5" ht="14.25" customHeight="1" x14ac:dyDescent="0.3">
      <c r="A24" s="62"/>
      <c r="B24" s="62"/>
      <c r="C24" s="62"/>
      <c r="D24" s="62"/>
      <c r="E24" s="62"/>
    </row>
    <row r="25" spans="1:5" ht="14.25" customHeight="1" x14ac:dyDescent="0.3">
      <c r="A25" s="62"/>
      <c r="B25" s="62"/>
      <c r="C25" s="62"/>
      <c r="D25" s="62"/>
      <c r="E25" s="62"/>
    </row>
    <row r="26" spans="1:5" ht="14.25" customHeight="1" x14ac:dyDescent="0.3">
      <c r="A26" s="62"/>
      <c r="B26" s="62"/>
      <c r="C26" s="62"/>
      <c r="D26" s="62"/>
      <c r="E26" s="62"/>
    </row>
    <row r="27" spans="1:5" ht="14.25" customHeight="1" x14ac:dyDescent="0.3">
      <c r="A27" s="62"/>
      <c r="B27" s="62"/>
      <c r="C27" s="62"/>
      <c r="D27" s="62"/>
      <c r="E27" s="62"/>
    </row>
    <row r="28" spans="1:5" ht="14.25" customHeight="1" x14ac:dyDescent="0.3">
      <c r="A28" s="62"/>
      <c r="B28" s="62"/>
      <c r="C28" s="62"/>
      <c r="D28" s="62"/>
      <c r="E28" s="62"/>
    </row>
    <row r="29" spans="1:5" ht="14.25" customHeight="1" x14ac:dyDescent="0.3">
      <c r="A29" s="62"/>
      <c r="B29" s="62"/>
      <c r="C29" s="62"/>
      <c r="D29" s="62"/>
      <c r="E29" s="62"/>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29"/>
  <sheetViews>
    <sheetView showGridLines="0" showRowColHeaders="0" tabSelected="1" zoomScale="70" zoomScaleNormal="70" workbookViewId="0">
      <pane ySplit="27" topLeftCell="A28" activePane="bottomLeft" state="frozen"/>
      <selection pane="bottomLeft" activeCell="E27" sqref="E27"/>
    </sheetView>
  </sheetViews>
  <sheetFormatPr baseColWidth="10" defaultColWidth="0" defaultRowHeight="14.25" customHeight="1" zeroHeight="1" x14ac:dyDescent="0.3"/>
  <cols>
    <col min="1" max="4" width="12.21875" style="60" customWidth="1"/>
    <col min="5" max="5" width="100.77734375" style="60" customWidth="1"/>
    <col min="6" max="16384" width="12.21875" style="60" hidden="1"/>
  </cols>
  <sheetData>
    <row r="1" spans="1:5" ht="14.25" customHeight="1" x14ac:dyDescent="0.3">
      <c r="A1" s="62"/>
      <c r="B1" s="62"/>
      <c r="C1" s="62"/>
      <c r="D1" s="62"/>
      <c r="E1" s="62"/>
    </row>
    <row r="2" spans="1:5" ht="14.25" customHeight="1" x14ac:dyDescent="0.3">
      <c r="A2" s="62"/>
      <c r="B2" s="62"/>
      <c r="C2" s="62"/>
      <c r="D2" s="62"/>
      <c r="E2" s="62"/>
    </row>
    <row r="3" spans="1:5" ht="14.25" customHeight="1" x14ac:dyDescent="0.3">
      <c r="A3" s="62"/>
      <c r="B3" s="62"/>
      <c r="C3" s="62"/>
      <c r="D3" s="62"/>
      <c r="E3" s="62"/>
    </row>
    <row r="4" spans="1:5" ht="100.05" customHeight="1" x14ac:dyDescent="0.3">
      <c r="A4" s="62"/>
      <c r="B4" s="62"/>
      <c r="C4" s="62"/>
      <c r="D4" s="62"/>
      <c r="E4" s="62"/>
    </row>
    <row r="5" spans="1:5" ht="14.25" customHeight="1" x14ac:dyDescent="0.3">
      <c r="A5" s="62"/>
      <c r="B5" s="62"/>
      <c r="C5" s="62"/>
      <c r="D5" s="62"/>
      <c r="E5" s="62"/>
    </row>
    <row r="6" spans="1:5" ht="14.25" customHeight="1" x14ac:dyDescent="0.3">
      <c r="A6" s="62"/>
      <c r="B6" s="62"/>
      <c r="C6" s="62"/>
      <c r="D6" s="62"/>
      <c r="E6" s="62"/>
    </row>
    <row r="7" spans="1:5" ht="14.25" customHeight="1" x14ac:dyDescent="0.3">
      <c r="A7" s="63"/>
      <c r="B7" s="64"/>
      <c r="C7" s="62"/>
      <c r="D7" s="62"/>
      <c r="E7" s="62"/>
    </row>
    <row r="8" spans="1:5" ht="14.25" customHeight="1" x14ac:dyDescent="0.3">
      <c r="A8" s="65"/>
      <c r="B8" s="66"/>
      <c r="C8" s="62"/>
      <c r="D8" s="62"/>
      <c r="E8" s="62"/>
    </row>
    <row r="9" spans="1:5" ht="14.25" customHeight="1" x14ac:dyDescent="0.3">
      <c r="A9" s="62"/>
      <c r="B9" s="62"/>
      <c r="C9" s="62"/>
      <c r="D9" s="62"/>
      <c r="E9" s="62"/>
    </row>
    <row r="10" spans="1:5" ht="14.25" customHeight="1" x14ac:dyDescent="0.3">
      <c r="A10" s="62"/>
      <c r="B10" s="62"/>
      <c r="C10" s="62"/>
      <c r="D10" s="62"/>
      <c r="E10" s="62"/>
    </row>
    <row r="11" spans="1:5" ht="14.25" customHeight="1" x14ac:dyDescent="0.3">
      <c r="A11" s="62"/>
      <c r="B11" s="62"/>
      <c r="C11" s="62"/>
      <c r="D11" s="62"/>
      <c r="E11" s="62"/>
    </row>
    <row r="12" spans="1:5" ht="14.25" customHeight="1" x14ac:dyDescent="0.3">
      <c r="A12" s="62"/>
      <c r="B12" s="62"/>
      <c r="C12" s="62"/>
      <c r="D12" s="62"/>
      <c r="E12" s="62"/>
    </row>
    <row r="13" spans="1:5" ht="14.25" customHeight="1" x14ac:dyDescent="0.3">
      <c r="A13" s="62"/>
      <c r="B13" s="62"/>
      <c r="C13" s="62"/>
      <c r="D13" s="62"/>
      <c r="E13" s="62"/>
    </row>
    <row r="14" spans="1:5" ht="14.25" customHeight="1" x14ac:dyDescent="0.3">
      <c r="A14" s="62"/>
      <c r="B14" s="62"/>
      <c r="C14" s="62"/>
      <c r="D14" s="62"/>
      <c r="E14" s="62"/>
    </row>
    <row r="15" spans="1:5" ht="14.25" customHeight="1" x14ac:dyDescent="0.3">
      <c r="A15" s="62"/>
      <c r="B15" s="62"/>
      <c r="C15" s="62"/>
      <c r="D15" s="62"/>
      <c r="E15" s="62"/>
    </row>
    <row r="16" spans="1:5" ht="14.25" customHeight="1" x14ac:dyDescent="0.3">
      <c r="A16" s="62"/>
      <c r="B16" s="62"/>
      <c r="C16" s="62"/>
      <c r="D16" s="62"/>
      <c r="E16" s="62"/>
    </row>
    <row r="17" spans="1:5" ht="14.25" customHeight="1" x14ac:dyDescent="0.3">
      <c r="A17" s="62"/>
      <c r="B17" s="62"/>
      <c r="C17" s="62"/>
      <c r="D17" s="62"/>
      <c r="E17" s="62"/>
    </row>
    <row r="18" spans="1:5" ht="14.25" customHeight="1" x14ac:dyDescent="0.3">
      <c r="A18" s="62"/>
      <c r="B18" s="62"/>
      <c r="C18" s="62"/>
      <c r="D18" s="62"/>
      <c r="E18" s="62"/>
    </row>
    <row r="19" spans="1:5" ht="14.25" customHeight="1" x14ac:dyDescent="0.3">
      <c r="A19" s="62"/>
      <c r="B19" s="62"/>
      <c r="C19" s="62"/>
      <c r="D19" s="62"/>
      <c r="E19" s="62"/>
    </row>
    <row r="20" spans="1:5" ht="14.25" customHeight="1" x14ac:dyDescent="0.3">
      <c r="A20" s="62"/>
      <c r="B20" s="62"/>
      <c r="C20" s="62"/>
      <c r="D20" s="62"/>
      <c r="E20" s="62"/>
    </row>
    <row r="21" spans="1:5" ht="14.25" customHeight="1" x14ac:dyDescent="0.3">
      <c r="A21" s="62"/>
      <c r="B21" s="62"/>
      <c r="C21" s="62"/>
      <c r="D21" s="62"/>
      <c r="E21" s="62"/>
    </row>
    <row r="22" spans="1:5" ht="14.25" customHeight="1" x14ac:dyDescent="0.3">
      <c r="A22" s="62"/>
      <c r="B22" s="62"/>
      <c r="C22" s="62"/>
      <c r="D22" s="62"/>
      <c r="E22" s="62"/>
    </row>
    <row r="23" spans="1:5" ht="14.25" customHeight="1" x14ac:dyDescent="0.3">
      <c r="A23" s="62"/>
      <c r="B23" s="62"/>
      <c r="C23" s="62"/>
      <c r="D23" s="62"/>
      <c r="E23" s="62"/>
    </row>
    <row r="24" spans="1:5" ht="14.25" customHeight="1" x14ac:dyDescent="0.3">
      <c r="A24" s="62"/>
      <c r="B24" s="62"/>
      <c r="C24" s="62"/>
      <c r="D24" s="62"/>
      <c r="E24" s="62"/>
    </row>
    <row r="25" spans="1:5" ht="14.25" customHeight="1" x14ac:dyDescent="0.3">
      <c r="A25" s="62"/>
      <c r="B25" s="62"/>
      <c r="C25" s="62"/>
      <c r="D25" s="62"/>
      <c r="E25" s="62"/>
    </row>
    <row r="26" spans="1:5" ht="14.25" customHeight="1" x14ac:dyDescent="0.3">
      <c r="A26" s="62"/>
      <c r="B26" s="62"/>
      <c r="C26" s="62"/>
      <c r="D26" s="62"/>
      <c r="E26" s="165" t="s">
        <v>636</v>
      </c>
    </row>
    <row r="27" spans="1:5" ht="14.25" customHeight="1" x14ac:dyDescent="0.3">
      <c r="A27" s="62"/>
      <c r="B27" s="62"/>
      <c r="C27" s="62"/>
      <c r="D27" s="62"/>
      <c r="E27" s="62"/>
    </row>
    <row r="28" spans="1:5" ht="14.25" customHeight="1" x14ac:dyDescent="0.3">
      <c r="A28" s="62"/>
      <c r="B28" s="62"/>
      <c r="C28" s="62"/>
      <c r="D28" s="62"/>
      <c r="E28" s="62"/>
    </row>
    <row r="29" spans="1:5" ht="14.25" customHeight="1" x14ac:dyDescent="0.3">
      <c r="A29" s="62"/>
      <c r="B29" s="62"/>
      <c r="C29" s="62"/>
      <c r="D29" s="62"/>
      <c r="E29" s="62"/>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B1:M48"/>
  <sheetViews>
    <sheetView showGridLines="0" workbookViewId="0">
      <selection activeCell="H24" sqref="H24"/>
    </sheetView>
  </sheetViews>
  <sheetFormatPr baseColWidth="10" defaultColWidth="11.5546875" defaultRowHeight="14.4" x14ac:dyDescent="0.3"/>
  <cols>
    <col min="1" max="1" width="3.21875" customWidth="1"/>
    <col min="2" max="2" width="33.21875" customWidth="1"/>
    <col min="3" max="3" width="20.5546875" bestFit="1" customWidth="1"/>
    <col min="4" max="4" width="8.21875" customWidth="1"/>
    <col min="5" max="5" width="50.77734375" bestFit="1" customWidth="1"/>
    <col min="6" max="6" width="22.77734375" customWidth="1"/>
    <col min="7" max="7" width="6.5546875" customWidth="1"/>
    <col min="8" max="8" width="46.21875" customWidth="1"/>
    <col min="9" max="9" width="17.21875" customWidth="1"/>
    <col min="10" max="10" width="6.77734375" customWidth="1"/>
    <col min="11" max="11" width="37.77734375" customWidth="1"/>
    <col min="13" max="13" width="18" bestFit="1" customWidth="1"/>
    <col min="15" max="15" width="37.77734375" customWidth="1"/>
    <col min="16" max="16" width="20.5546875" customWidth="1"/>
  </cols>
  <sheetData>
    <row r="1" spans="2:13" ht="57" customHeight="1" x14ac:dyDescent="0.3"/>
    <row r="2" spans="2:13" x14ac:dyDescent="0.3">
      <c r="B2" s="24" t="s">
        <v>271</v>
      </c>
      <c r="C2" t="s">
        <v>272</v>
      </c>
      <c r="D2" s="5"/>
      <c r="E2" t="s">
        <v>224</v>
      </c>
      <c r="F2" t="s">
        <v>225</v>
      </c>
      <c r="G2" s="37"/>
      <c r="H2" t="s">
        <v>222</v>
      </c>
      <c r="I2" t="s">
        <v>223</v>
      </c>
      <c r="J2" s="48"/>
      <c r="K2" s="49"/>
      <c r="L2" s="49"/>
      <c r="M2" s="49"/>
    </row>
    <row r="3" spans="2:13" x14ac:dyDescent="0.3">
      <c r="B3" s="151" t="s">
        <v>464</v>
      </c>
      <c r="C3" s="83" t="s">
        <v>15</v>
      </c>
      <c r="D3" s="35"/>
      <c r="E3" s="83" t="s">
        <v>509</v>
      </c>
      <c r="F3" s="83" t="s">
        <v>15</v>
      </c>
      <c r="G3" s="18"/>
      <c r="H3" s="83" t="s">
        <v>435</v>
      </c>
      <c r="I3" s="83" t="s">
        <v>169</v>
      </c>
      <c r="J3" s="24" t="s">
        <v>188</v>
      </c>
      <c r="K3" s="47"/>
      <c r="L3" s="47"/>
      <c r="M3" s="50"/>
    </row>
    <row r="4" spans="2:13" x14ac:dyDescent="0.3">
      <c r="B4" s="151" t="s">
        <v>458</v>
      </c>
      <c r="C4" s="83" t="s">
        <v>16</v>
      </c>
      <c r="E4" s="83" t="s">
        <v>511</v>
      </c>
      <c r="F4" s="83" t="s">
        <v>16</v>
      </c>
      <c r="G4" s="18"/>
      <c r="H4" s="83" t="s">
        <v>243</v>
      </c>
      <c r="I4" s="83" t="s">
        <v>170</v>
      </c>
      <c r="J4" s="24" t="s">
        <v>148</v>
      </c>
      <c r="K4" s="47"/>
      <c r="L4" s="47"/>
      <c r="M4" s="50"/>
    </row>
    <row r="5" spans="2:13" x14ac:dyDescent="0.3">
      <c r="B5" s="151" t="s">
        <v>463</v>
      </c>
      <c r="C5" s="83" t="s">
        <v>17</v>
      </c>
      <c r="D5" s="35"/>
      <c r="E5" s="83" t="s">
        <v>512</v>
      </c>
      <c r="F5" s="83" t="s">
        <v>16</v>
      </c>
      <c r="G5" s="18"/>
      <c r="H5" s="83" t="s">
        <v>9</v>
      </c>
      <c r="I5" s="83" t="s">
        <v>171</v>
      </c>
      <c r="J5" s="24" t="s">
        <v>149</v>
      </c>
      <c r="K5" s="47"/>
      <c r="L5" s="47"/>
      <c r="M5" s="50"/>
    </row>
    <row r="6" spans="2:13" x14ac:dyDescent="0.3">
      <c r="B6" s="151" t="s">
        <v>456</v>
      </c>
      <c r="C6" s="83" t="s">
        <v>18</v>
      </c>
      <c r="E6" s="83" t="s">
        <v>514</v>
      </c>
      <c r="F6" s="83" t="s">
        <v>16</v>
      </c>
      <c r="G6" s="18"/>
      <c r="H6" s="83" t="s">
        <v>530</v>
      </c>
      <c r="I6" s="83" t="s">
        <v>172</v>
      </c>
      <c r="J6" s="24" t="s">
        <v>189</v>
      </c>
      <c r="K6" s="47"/>
      <c r="L6" s="47"/>
      <c r="M6" s="47"/>
    </row>
    <row r="7" spans="2:13" x14ac:dyDescent="0.3">
      <c r="B7" s="151" t="s">
        <v>453</v>
      </c>
      <c r="C7" s="83" t="s">
        <v>19</v>
      </c>
      <c r="D7" s="35"/>
      <c r="E7" s="83" t="s">
        <v>518</v>
      </c>
      <c r="F7" s="83" t="s">
        <v>177</v>
      </c>
      <c r="G7" s="18"/>
      <c r="H7" s="83" t="s">
        <v>242</v>
      </c>
      <c r="I7" s="83" t="s">
        <v>178</v>
      </c>
      <c r="J7" s="24" t="str">
        <f>IF(H7="Factor5","F5",MID(H7,1,2))</f>
        <v>Cl</v>
      </c>
      <c r="K7" s="47"/>
      <c r="L7" s="47"/>
      <c r="M7" s="47"/>
    </row>
    <row r="8" spans="2:13" x14ac:dyDescent="0.3">
      <c r="B8" s="151" t="s">
        <v>459</v>
      </c>
      <c r="C8" s="83" t="s">
        <v>20</v>
      </c>
      <c r="E8" s="83" t="s">
        <v>521</v>
      </c>
      <c r="F8" s="83" t="s">
        <v>177</v>
      </c>
      <c r="G8" s="18"/>
      <c r="H8" s="83" t="s">
        <v>563</v>
      </c>
      <c r="I8" s="83" t="s">
        <v>179</v>
      </c>
      <c r="J8" s="24" t="str">
        <f>IF(H8="Factor6","F6",MID(H8,1,2))</f>
        <v>Di</v>
      </c>
      <c r="K8" s="47"/>
      <c r="L8" s="47"/>
      <c r="M8" s="47"/>
    </row>
    <row r="9" spans="2:13" x14ac:dyDescent="0.3">
      <c r="B9" s="151" t="s">
        <v>452</v>
      </c>
      <c r="C9" s="83" t="s">
        <v>84</v>
      </c>
      <c r="D9" s="35"/>
      <c r="E9" s="83" t="s">
        <v>524</v>
      </c>
      <c r="F9" s="83" t="s">
        <v>16</v>
      </c>
      <c r="G9" s="18"/>
      <c r="H9" s="83" t="s">
        <v>564</v>
      </c>
      <c r="I9" s="83" t="s">
        <v>439</v>
      </c>
      <c r="J9" s="24" t="str">
        <f>IF(H11="Factor7","F7",MID(H11,1,2))</f>
        <v>Co</v>
      </c>
      <c r="K9" s="47"/>
      <c r="L9" s="47"/>
      <c r="M9" s="47"/>
    </row>
    <row r="10" spans="2:13" x14ac:dyDescent="0.3">
      <c r="B10" s="151" t="s">
        <v>457</v>
      </c>
      <c r="C10" s="83" t="s">
        <v>89</v>
      </c>
      <c r="E10" s="83" t="s">
        <v>525</v>
      </c>
      <c r="F10" s="83" t="s">
        <v>176</v>
      </c>
      <c r="G10" s="18"/>
      <c r="H10" s="83" t="s">
        <v>547</v>
      </c>
      <c r="I10" s="83" t="s">
        <v>448</v>
      </c>
      <c r="J10" s="24" t="str">
        <f>IF(H12="Factor8","F8",MID(H12,1,2))</f>
        <v>Di</v>
      </c>
      <c r="K10" s="47"/>
      <c r="L10" s="47"/>
      <c r="M10" s="47"/>
    </row>
    <row r="11" spans="2:13" x14ac:dyDescent="0.3">
      <c r="B11" s="152" t="s">
        <v>460</v>
      </c>
      <c r="C11" s="83" t="s">
        <v>90</v>
      </c>
      <c r="D11" s="35"/>
      <c r="E11" s="82" t="s">
        <v>526</v>
      </c>
      <c r="F11" s="83" t="s">
        <v>16</v>
      </c>
      <c r="G11" s="18"/>
      <c r="H11" s="83" t="s">
        <v>522</v>
      </c>
      <c r="I11" s="83" t="s">
        <v>523</v>
      </c>
    </row>
    <row r="12" spans="2:13" x14ac:dyDescent="0.3">
      <c r="B12" s="151" t="s">
        <v>455</v>
      </c>
      <c r="C12" s="83" t="s">
        <v>91</v>
      </c>
      <c r="E12" s="83" t="s">
        <v>529</v>
      </c>
      <c r="F12" s="83" t="s">
        <v>18</v>
      </c>
      <c r="G12" s="18"/>
      <c r="H12" s="83" t="s">
        <v>445</v>
      </c>
      <c r="I12" s="83" t="s">
        <v>531</v>
      </c>
    </row>
    <row r="13" spans="2:13" ht="15.75" customHeight="1" x14ac:dyDescent="0.3">
      <c r="B13" s="151" t="s">
        <v>462</v>
      </c>
      <c r="C13" s="83" t="s">
        <v>173</v>
      </c>
      <c r="D13" s="35"/>
      <c r="E13" s="83" t="s">
        <v>532</v>
      </c>
      <c r="F13" s="83" t="s">
        <v>89</v>
      </c>
      <c r="G13" s="18"/>
      <c r="H13" s="83" t="s">
        <v>446</v>
      </c>
      <c r="I13" s="83" t="s">
        <v>540</v>
      </c>
    </row>
    <row r="14" spans="2:13" ht="15" customHeight="1" x14ac:dyDescent="0.3">
      <c r="B14" s="151" t="s">
        <v>461</v>
      </c>
      <c r="C14" s="83" t="s">
        <v>174</v>
      </c>
      <c r="E14" s="83" t="s">
        <v>533</v>
      </c>
      <c r="F14" s="83" t="s">
        <v>177</v>
      </c>
      <c r="G14" s="18"/>
      <c r="H14" s="83" t="s">
        <v>447</v>
      </c>
      <c r="I14" s="83" t="s">
        <v>562</v>
      </c>
    </row>
    <row r="15" spans="2:13" x14ac:dyDescent="0.3">
      <c r="B15" s="151" t="s">
        <v>451</v>
      </c>
      <c r="C15" s="83" t="s">
        <v>175</v>
      </c>
      <c r="D15" s="35"/>
      <c r="E15" s="83" t="s">
        <v>534</v>
      </c>
      <c r="F15" s="83" t="s">
        <v>89</v>
      </c>
      <c r="G15" s="18"/>
    </row>
    <row r="16" spans="2:13" ht="15" customHeight="1" x14ac:dyDescent="0.3">
      <c r="B16" s="151" t="s">
        <v>454</v>
      </c>
      <c r="C16" s="83" t="s">
        <v>176</v>
      </c>
      <c r="E16" s="83" t="s">
        <v>536</v>
      </c>
      <c r="F16" s="83" t="s">
        <v>17</v>
      </c>
      <c r="G16" s="18"/>
      <c r="H16" s="64"/>
    </row>
    <row r="17" spans="2:9" ht="15" customHeight="1" x14ac:dyDescent="0.3">
      <c r="B17" s="151" t="s">
        <v>517</v>
      </c>
      <c r="C17" s="83" t="s">
        <v>177</v>
      </c>
      <c r="D17" s="35"/>
      <c r="E17" s="83" t="s">
        <v>537</v>
      </c>
      <c r="F17" s="83" t="s">
        <v>90</v>
      </c>
      <c r="G17" s="18"/>
      <c r="H17" s="65"/>
      <c r="I17" s="66"/>
    </row>
    <row r="18" spans="2:9" ht="15" customHeight="1" x14ac:dyDescent="0.3">
      <c r="B18" s="151" t="s">
        <v>553</v>
      </c>
      <c r="C18" s="83" t="s">
        <v>552</v>
      </c>
      <c r="E18" s="83" t="s">
        <v>538</v>
      </c>
      <c r="F18" s="83" t="s">
        <v>175</v>
      </c>
      <c r="G18" s="18"/>
      <c r="H18" s="65"/>
      <c r="I18" s="66"/>
    </row>
    <row r="19" spans="2:9" ht="15" customHeight="1" x14ac:dyDescent="0.3">
      <c r="B19" s="151" t="s">
        <v>556</v>
      </c>
      <c r="C19" s="83" t="s">
        <v>555</v>
      </c>
      <c r="E19" s="83" t="s">
        <v>452</v>
      </c>
      <c r="F19" s="83" t="s">
        <v>84</v>
      </c>
      <c r="G19" s="18"/>
      <c r="H19" s="65"/>
      <c r="I19" s="66"/>
    </row>
    <row r="20" spans="2:9" ht="15" customHeight="1" x14ac:dyDescent="0.3">
      <c r="B20" s="151" t="s">
        <v>559</v>
      </c>
      <c r="C20" s="83" t="s">
        <v>558</v>
      </c>
      <c r="E20" s="83" t="s">
        <v>542</v>
      </c>
      <c r="F20" s="83" t="s">
        <v>174</v>
      </c>
      <c r="G20" s="18"/>
      <c r="H20" s="71"/>
      <c r="I20" s="72"/>
    </row>
    <row r="21" spans="2:9" ht="15" customHeight="1" x14ac:dyDescent="0.3">
      <c r="B21" s="151" t="s">
        <v>567</v>
      </c>
      <c r="C21" s="83" t="s">
        <v>566</v>
      </c>
      <c r="D21" s="5"/>
      <c r="E21" s="83" t="s">
        <v>544</v>
      </c>
      <c r="F21" s="83" t="s">
        <v>174</v>
      </c>
      <c r="G21" s="18"/>
      <c r="H21" s="71"/>
      <c r="I21" s="72"/>
    </row>
    <row r="22" spans="2:9" ht="15" customHeight="1" x14ac:dyDescent="0.3">
      <c r="D22" s="1"/>
      <c r="E22" s="83" t="s">
        <v>546</v>
      </c>
      <c r="F22" s="83" t="s">
        <v>20</v>
      </c>
      <c r="G22" s="18"/>
      <c r="H22" s="71"/>
      <c r="I22" s="72"/>
    </row>
    <row r="23" spans="2:9" ht="15" customHeight="1" x14ac:dyDescent="0.3">
      <c r="B23" t="s">
        <v>273</v>
      </c>
      <c r="C23" t="s">
        <v>274</v>
      </c>
      <c r="D23" s="1"/>
      <c r="E23" s="83" t="s">
        <v>549</v>
      </c>
      <c r="F23" s="83" t="s">
        <v>19</v>
      </c>
      <c r="G23" s="18"/>
    </row>
    <row r="24" spans="2:9" ht="15" customHeight="1" x14ac:dyDescent="0.3">
      <c r="B24" s="83" t="s">
        <v>187</v>
      </c>
      <c r="C24" s="83" t="s">
        <v>47</v>
      </c>
      <c r="D24" s="1"/>
      <c r="E24" s="83" t="s">
        <v>550</v>
      </c>
      <c r="F24" s="83" t="s">
        <v>19</v>
      </c>
      <c r="G24" s="18"/>
    </row>
    <row r="25" spans="2:9" ht="15" customHeight="1" x14ac:dyDescent="0.3">
      <c r="B25" s="83" t="s">
        <v>186</v>
      </c>
      <c r="C25" s="83" t="s">
        <v>44</v>
      </c>
      <c r="D25" s="1"/>
      <c r="E25" s="83" t="s">
        <v>551</v>
      </c>
      <c r="F25" s="83" t="s">
        <v>91</v>
      </c>
      <c r="G25" s="18"/>
    </row>
    <row r="26" spans="2:9" ht="15" customHeight="1" x14ac:dyDescent="0.3">
      <c r="B26" s="83" t="s">
        <v>184</v>
      </c>
      <c r="C26" s="83" t="s">
        <v>46</v>
      </c>
      <c r="D26" s="1"/>
      <c r="E26" s="151" t="s">
        <v>553</v>
      </c>
      <c r="F26" s="83" t="s">
        <v>552</v>
      </c>
      <c r="G26" s="18"/>
    </row>
    <row r="27" spans="2:9" ht="15" customHeight="1" x14ac:dyDescent="0.3">
      <c r="B27" s="83" t="s">
        <v>185</v>
      </c>
      <c r="C27" s="83" t="s">
        <v>45</v>
      </c>
      <c r="D27" s="1"/>
      <c r="E27" s="151" t="s">
        <v>554</v>
      </c>
      <c r="F27" s="83" t="s">
        <v>552</v>
      </c>
      <c r="G27" s="18"/>
    </row>
    <row r="28" spans="2:9" ht="15" customHeight="1" x14ac:dyDescent="0.3">
      <c r="E28" s="151" t="s">
        <v>557</v>
      </c>
      <c r="F28" s="83" t="s">
        <v>555</v>
      </c>
      <c r="G28" s="18"/>
    </row>
    <row r="29" spans="2:9" ht="15" customHeight="1" x14ac:dyDescent="0.3">
      <c r="B29" t="s">
        <v>275</v>
      </c>
      <c r="C29" t="s">
        <v>276</v>
      </c>
      <c r="E29" s="83" t="s">
        <v>560</v>
      </c>
      <c r="F29" s="83" t="s">
        <v>558</v>
      </c>
      <c r="G29" s="18"/>
    </row>
    <row r="30" spans="2:9" ht="15" customHeight="1" x14ac:dyDescent="0.3">
      <c r="B30" s="83" t="s">
        <v>2</v>
      </c>
      <c r="C30" s="83" t="s">
        <v>8</v>
      </c>
      <c r="D30" s="36"/>
      <c r="G30" s="18"/>
    </row>
    <row r="31" spans="2:9" ht="15" customHeight="1" x14ac:dyDescent="0.3">
      <c r="B31" s="83" t="s">
        <v>3</v>
      </c>
      <c r="C31" s="83" t="s">
        <v>8</v>
      </c>
      <c r="D31" s="18"/>
      <c r="G31" s="18"/>
    </row>
    <row r="32" spans="2:9" ht="15" customHeight="1" x14ac:dyDescent="0.3">
      <c r="B32" s="83" t="s">
        <v>4</v>
      </c>
      <c r="C32" s="83" t="s">
        <v>93</v>
      </c>
      <c r="D32" s="18"/>
      <c r="G32" s="18"/>
    </row>
    <row r="33" spans="2:7" ht="15" customHeight="1" x14ac:dyDescent="0.3">
      <c r="B33" s="83" t="s">
        <v>5</v>
      </c>
      <c r="C33" s="83" t="s">
        <v>92</v>
      </c>
      <c r="D33" s="18"/>
      <c r="G33" s="18"/>
    </row>
    <row r="34" spans="2:7" ht="15" customHeight="1" x14ac:dyDescent="0.3">
      <c r="D34" s="18"/>
      <c r="G34" s="18"/>
    </row>
    <row r="35" spans="2:7" ht="15" customHeight="1" x14ac:dyDescent="0.3">
      <c r="B35" s="37" t="s">
        <v>277</v>
      </c>
      <c r="D35" s="1"/>
      <c r="G35" s="18"/>
    </row>
    <row r="36" spans="2:7" ht="15" customHeight="1" x14ac:dyDescent="0.3">
      <c r="B36" s="84" t="s">
        <v>215</v>
      </c>
      <c r="D36" s="1"/>
      <c r="G36" s="18"/>
    </row>
    <row r="37" spans="2:7" ht="15" customHeight="1" x14ac:dyDescent="0.3">
      <c r="B37" s="84" t="s">
        <v>216</v>
      </c>
      <c r="G37" s="18"/>
    </row>
    <row r="38" spans="2:7" ht="15" customHeight="1" x14ac:dyDescent="0.3">
      <c r="B38" s="84" t="s">
        <v>35</v>
      </c>
      <c r="G38" s="18"/>
    </row>
    <row r="39" spans="2:7" ht="15" customHeight="1" x14ac:dyDescent="0.3">
      <c r="B39" s="1"/>
      <c r="C39" s="18"/>
      <c r="G39" s="35"/>
    </row>
    <row r="40" spans="2:7" ht="15" customHeight="1" x14ac:dyDescent="0.3">
      <c r="B40" s="1"/>
      <c r="C40" s="1"/>
    </row>
    <row r="41" spans="2:7" ht="15" customHeight="1" x14ac:dyDescent="0.3"/>
    <row r="42" spans="2:7" ht="15" customHeight="1" x14ac:dyDescent="0.3"/>
    <row r="43" spans="2:7" ht="15" customHeight="1" x14ac:dyDescent="0.3"/>
    <row r="44" spans="2:7" ht="15" customHeight="1" x14ac:dyDescent="0.3"/>
    <row r="45" spans="2:7" ht="15" customHeight="1" x14ac:dyDescent="0.3"/>
    <row r="48" spans="2:7" x14ac:dyDescent="0.3">
      <c r="B48" s="24"/>
      <c r="C48" s="24"/>
    </row>
  </sheetData>
  <pageMargins left="0.7" right="0.7" top="0.75" bottom="0.75" header="0.3" footer="0.3"/>
  <pageSetup scale="56" fitToHeight="0" orientation="landscape" r:id="rId1"/>
  <drawing r:id="rId2"/>
  <tableParts count="6">
    <tablePart r:id="rId3"/>
    <tablePart r:id="rId4"/>
    <tablePart r:id="rId5"/>
    <tablePart r:id="rId6"/>
    <tablePart r:id="rId7"/>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1:T40"/>
  <sheetViews>
    <sheetView showGridLines="0" zoomScale="90" zoomScaleNormal="90" workbookViewId="0">
      <selection activeCell="B3" sqref="B3:F3"/>
    </sheetView>
  </sheetViews>
  <sheetFormatPr baseColWidth="10" defaultColWidth="11.5546875" defaultRowHeight="14.4" x14ac:dyDescent="0.3"/>
  <cols>
    <col min="1" max="1" width="3.21875" customWidth="1"/>
    <col min="3" max="3" width="16.5546875" customWidth="1"/>
    <col min="4" max="5" width="20.5546875" customWidth="1"/>
    <col min="6" max="6" width="20.77734375" customWidth="1"/>
    <col min="7" max="7" width="2" customWidth="1"/>
    <col min="9" max="9" width="21.21875" customWidth="1"/>
    <col min="10" max="13" width="27.77734375" customWidth="1"/>
    <col min="14" max="14" width="79.77734375" customWidth="1"/>
    <col min="16" max="16" width="31.21875" customWidth="1"/>
    <col min="17" max="17" width="25.21875" customWidth="1"/>
    <col min="18" max="18" width="27.77734375" customWidth="1"/>
    <col min="19" max="19" width="28.21875" customWidth="1"/>
  </cols>
  <sheetData>
    <row r="1" spans="2:20" ht="40.5" customHeight="1" x14ac:dyDescent="0.3"/>
    <row r="2" spans="2:20" ht="15.6" x14ac:dyDescent="0.3">
      <c r="H2" s="172" t="s">
        <v>389</v>
      </c>
      <c r="I2" s="172"/>
      <c r="J2" s="172"/>
      <c r="K2" s="172"/>
      <c r="L2" s="172"/>
      <c r="M2" s="172"/>
      <c r="T2" s="80"/>
    </row>
    <row r="3" spans="2:20" ht="27.6" x14ac:dyDescent="0.3">
      <c r="B3" s="184" t="s">
        <v>21</v>
      </c>
      <c r="C3" s="185"/>
      <c r="D3" s="185"/>
      <c r="E3" s="185"/>
      <c r="F3" s="186"/>
      <c r="H3" s="174" t="s">
        <v>278</v>
      </c>
      <c r="I3" s="173" t="s">
        <v>244</v>
      </c>
      <c r="J3" s="85" t="s">
        <v>245</v>
      </c>
      <c r="K3" s="85" t="s">
        <v>246</v>
      </c>
      <c r="L3" s="85" t="s">
        <v>247</v>
      </c>
      <c r="M3" s="85" t="s">
        <v>248</v>
      </c>
      <c r="T3" s="80"/>
    </row>
    <row r="4" spans="2:20" ht="26.25" customHeight="1" x14ac:dyDescent="0.3">
      <c r="B4" s="85" t="s">
        <v>278</v>
      </c>
      <c r="C4" s="85" t="s">
        <v>280</v>
      </c>
      <c r="D4" s="181" t="s">
        <v>279</v>
      </c>
      <c r="E4" s="182"/>
      <c r="F4" s="183"/>
      <c r="H4" s="175"/>
      <c r="I4" s="173"/>
      <c r="J4" s="86">
        <v>0.25</v>
      </c>
      <c r="K4" s="86">
        <v>0.25</v>
      </c>
      <c r="L4" s="86">
        <v>0.25</v>
      </c>
      <c r="M4" s="86">
        <v>0.25</v>
      </c>
      <c r="T4" s="80"/>
    </row>
    <row r="5" spans="2:20" ht="63" customHeight="1" x14ac:dyDescent="0.3">
      <c r="B5" s="154">
        <v>1</v>
      </c>
      <c r="C5" s="154" t="s">
        <v>481</v>
      </c>
      <c r="D5" s="167" t="s">
        <v>482</v>
      </c>
      <c r="E5" s="167"/>
      <c r="F5" s="167"/>
      <c r="H5" s="87">
        <v>1</v>
      </c>
      <c r="I5" s="87" t="s">
        <v>480</v>
      </c>
      <c r="J5" s="87" t="s">
        <v>249</v>
      </c>
      <c r="K5" s="87" t="s">
        <v>467</v>
      </c>
      <c r="L5" s="87" t="s">
        <v>468</v>
      </c>
      <c r="M5" s="87" t="s">
        <v>469</v>
      </c>
      <c r="T5" s="80"/>
    </row>
    <row r="6" spans="2:20" ht="67.5" customHeight="1" x14ac:dyDescent="0.3">
      <c r="B6" s="155">
        <v>2</v>
      </c>
      <c r="C6" s="155" t="s">
        <v>483</v>
      </c>
      <c r="D6" s="177" t="s">
        <v>484</v>
      </c>
      <c r="E6" s="178"/>
      <c r="F6" s="179"/>
      <c r="H6" s="87">
        <v>2</v>
      </c>
      <c r="I6" s="87" t="s">
        <v>98</v>
      </c>
      <c r="J6" s="87" t="s">
        <v>250</v>
      </c>
      <c r="K6" s="87" t="s">
        <v>251</v>
      </c>
      <c r="L6" s="87" t="s">
        <v>470</v>
      </c>
      <c r="M6" s="87" t="s">
        <v>471</v>
      </c>
      <c r="T6" s="80"/>
    </row>
    <row r="7" spans="2:20" ht="70.5" customHeight="1" x14ac:dyDescent="0.3">
      <c r="B7" s="156">
        <v>3</v>
      </c>
      <c r="C7" s="156" t="s">
        <v>485</v>
      </c>
      <c r="D7" s="177" t="s">
        <v>492</v>
      </c>
      <c r="E7" s="178"/>
      <c r="F7" s="179"/>
      <c r="H7" s="87">
        <v>3</v>
      </c>
      <c r="I7" s="87" t="s">
        <v>97</v>
      </c>
      <c r="J7" s="87" t="s">
        <v>252</v>
      </c>
      <c r="K7" s="87" t="s">
        <v>253</v>
      </c>
      <c r="L7" s="87" t="s">
        <v>472</v>
      </c>
      <c r="M7" s="87" t="s">
        <v>473</v>
      </c>
      <c r="T7" s="80"/>
    </row>
    <row r="8" spans="2:20" ht="91.5" customHeight="1" x14ac:dyDescent="0.3">
      <c r="B8" s="157">
        <v>4</v>
      </c>
      <c r="C8" s="157" t="s">
        <v>486</v>
      </c>
      <c r="D8" s="177" t="s">
        <v>487</v>
      </c>
      <c r="E8" s="178"/>
      <c r="F8" s="179"/>
      <c r="H8" s="87">
        <v>4</v>
      </c>
      <c r="I8" s="87" t="s">
        <v>254</v>
      </c>
      <c r="J8" s="87" t="s">
        <v>449</v>
      </c>
      <c r="K8" s="87" t="s">
        <v>474</v>
      </c>
      <c r="L8" s="87" t="s">
        <v>475</v>
      </c>
      <c r="M8" s="87" t="s">
        <v>476</v>
      </c>
      <c r="T8" s="80"/>
    </row>
    <row r="9" spans="2:20" ht="75" customHeight="1" x14ac:dyDescent="0.3">
      <c r="B9" s="158">
        <v>5</v>
      </c>
      <c r="C9" s="158" t="s">
        <v>488</v>
      </c>
      <c r="D9" s="177" t="s">
        <v>489</v>
      </c>
      <c r="E9" s="178"/>
      <c r="F9" s="179"/>
      <c r="H9" s="87">
        <v>5</v>
      </c>
      <c r="I9" s="87" t="s">
        <v>99</v>
      </c>
      <c r="J9" s="87" t="s">
        <v>477</v>
      </c>
      <c r="K9" s="87" t="s">
        <v>466</v>
      </c>
      <c r="L9" s="87" t="s">
        <v>478</v>
      </c>
      <c r="M9" s="87" t="s">
        <v>479</v>
      </c>
      <c r="T9" s="80"/>
    </row>
    <row r="10" spans="2:20" ht="12" customHeight="1" x14ac:dyDescent="0.3">
      <c r="B10" s="88"/>
      <c r="C10" s="89"/>
      <c r="D10" s="180"/>
      <c r="E10" s="180"/>
      <c r="F10" s="180"/>
      <c r="H10" s="35"/>
      <c r="I10" s="35"/>
      <c r="J10" s="80"/>
      <c r="K10" s="80"/>
      <c r="L10" s="80"/>
      <c r="T10" s="80"/>
    </row>
    <row r="11" spans="2:20" ht="12" customHeight="1" x14ac:dyDescent="0.3">
      <c r="H11" s="35"/>
      <c r="I11" s="35"/>
      <c r="J11" s="80"/>
      <c r="K11" s="80"/>
      <c r="L11" s="80"/>
      <c r="T11" s="80"/>
    </row>
    <row r="12" spans="2:20" ht="12" customHeight="1" x14ac:dyDescent="0.3"/>
    <row r="13" spans="2:20" ht="9.75" hidden="1" customHeight="1" x14ac:dyDescent="0.3"/>
    <row r="14" spans="2:20" ht="37.5" customHeight="1" x14ac:dyDescent="0.3">
      <c r="B14" s="67" t="s">
        <v>88</v>
      </c>
      <c r="C14" s="67" t="s">
        <v>1</v>
      </c>
      <c r="D14" s="169" t="s">
        <v>6</v>
      </c>
      <c r="E14" s="169"/>
      <c r="F14" s="169"/>
      <c r="I14" s="18" t="s">
        <v>211</v>
      </c>
      <c r="J14" s="18" t="s">
        <v>47</v>
      </c>
      <c r="K14" s="18" t="s">
        <v>44</v>
      </c>
      <c r="L14" s="18" t="s">
        <v>46</v>
      </c>
      <c r="M14" s="18" t="s">
        <v>45</v>
      </c>
      <c r="N14" s="18" t="s">
        <v>23</v>
      </c>
    </row>
    <row r="15" spans="2:20" ht="49.5" customHeight="1" x14ac:dyDescent="0.3">
      <c r="B15" s="170" t="s">
        <v>2</v>
      </c>
      <c r="C15" s="73">
        <v>1</v>
      </c>
      <c r="D15" s="167" t="s">
        <v>8</v>
      </c>
      <c r="E15" s="168" t="s">
        <v>493</v>
      </c>
      <c r="F15" s="168"/>
      <c r="I15" s="18" t="s">
        <v>201</v>
      </c>
      <c r="J15" s="18" t="s">
        <v>200</v>
      </c>
      <c r="K15" s="18" t="s">
        <v>200</v>
      </c>
      <c r="L15" s="18" t="s">
        <v>200</v>
      </c>
      <c r="M15" s="18" t="s">
        <v>200</v>
      </c>
      <c r="N15" s="52" t="s">
        <v>496</v>
      </c>
    </row>
    <row r="16" spans="2:20" ht="47.25" customHeight="1" x14ac:dyDescent="0.3">
      <c r="B16" s="170"/>
      <c r="C16" s="73">
        <v>2</v>
      </c>
      <c r="D16" s="167"/>
      <c r="E16" s="168"/>
      <c r="F16" s="168"/>
      <c r="I16" s="18" t="s">
        <v>202</v>
      </c>
      <c r="J16" s="18" t="s">
        <v>200</v>
      </c>
      <c r="K16" s="18" t="s">
        <v>200</v>
      </c>
      <c r="L16" s="18"/>
      <c r="M16" s="18" t="s">
        <v>200</v>
      </c>
      <c r="N16" s="52" t="s">
        <v>497</v>
      </c>
    </row>
    <row r="17" spans="2:14" ht="54" customHeight="1" x14ac:dyDescent="0.3">
      <c r="B17" s="170"/>
      <c r="C17" s="73">
        <v>3</v>
      </c>
      <c r="D17" s="167"/>
      <c r="E17" s="168"/>
      <c r="F17" s="168"/>
      <c r="I17" s="18" t="s">
        <v>203</v>
      </c>
      <c r="J17" s="18" t="s">
        <v>200</v>
      </c>
      <c r="K17" s="18"/>
      <c r="L17" s="18" t="s">
        <v>200</v>
      </c>
      <c r="M17" s="18" t="s">
        <v>200</v>
      </c>
      <c r="N17" s="52" t="s">
        <v>498</v>
      </c>
    </row>
    <row r="18" spans="2:14" ht="41.25" customHeight="1" x14ac:dyDescent="0.3">
      <c r="B18" s="170"/>
      <c r="C18" s="73">
        <v>4</v>
      </c>
      <c r="D18" s="167"/>
      <c r="E18" s="168"/>
      <c r="F18" s="168"/>
      <c r="I18" s="18" t="s">
        <v>202</v>
      </c>
      <c r="J18" s="18" t="s">
        <v>200</v>
      </c>
      <c r="K18" s="18" t="s">
        <v>200</v>
      </c>
      <c r="L18" s="18"/>
      <c r="M18" s="18" t="s">
        <v>200</v>
      </c>
      <c r="N18" s="52" t="s">
        <v>497</v>
      </c>
    </row>
    <row r="19" spans="2:14" ht="41.25" customHeight="1" x14ac:dyDescent="0.3">
      <c r="B19" s="170"/>
      <c r="C19" s="73">
        <v>5</v>
      </c>
      <c r="D19" s="167"/>
      <c r="E19" s="168"/>
      <c r="F19" s="168"/>
      <c r="I19" s="18" t="s">
        <v>204</v>
      </c>
      <c r="J19" s="18" t="s">
        <v>200</v>
      </c>
      <c r="K19" s="18" t="s">
        <v>200</v>
      </c>
      <c r="L19" s="18" t="s">
        <v>200</v>
      </c>
      <c r="M19" s="18"/>
      <c r="N19" s="52" t="s">
        <v>499</v>
      </c>
    </row>
    <row r="20" spans="2:14" ht="42" customHeight="1" x14ac:dyDescent="0.3">
      <c r="B20" s="170"/>
      <c r="C20" s="73">
        <v>6</v>
      </c>
      <c r="D20" s="167"/>
      <c r="E20" s="168"/>
      <c r="F20" s="168"/>
      <c r="I20" s="18" t="s">
        <v>205</v>
      </c>
      <c r="J20" s="18"/>
      <c r="K20" s="18" t="s">
        <v>200</v>
      </c>
      <c r="L20" s="18" t="s">
        <v>200</v>
      </c>
      <c r="M20" s="18" t="s">
        <v>200</v>
      </c>
      <c r="N20" s="52" t="s">
        <v>495</v>
      </c>
    </row>
    <row r="21" spans="2:14" ht="41.25" customHeight="1" x14ac:dyDescent="0.3">
      <c r="B21" s="170"/>
      <c r="C21" s="73">
        <v>7</v>
      </c>
      <c r="D21" s="167"/>
      <c r="E21" s="168"/>
      <c r="F21" s="168"/>
      <c r="I21" s="18" t="s">
        <v>206</v>
      </c>
      <c r="J21" s="18"/>
      <c r="K21" s="18" t="s">
        <v>200</v>
      </c>
      <c r="L21" s="18"/>
      <c r="M21" s="18" t="s">
        <v>200</v>
      </c>
      <c r="N21" s="52" t="s">
        <v>500</v>
      </c>
    </row>
    <row r="22" spans="2:14" ht="31.5" customHeight="1" x14ac:dyDescent="0.3">
      <c r="B22" s="171" t="s">
        <v>3</v>
      </c>
      <c r="C22" s="73">
        <v>8</v>
      </c>
      <c r="D22" s="167" t="s">
        <v>8</v>
      </c>
      <c r="E22" s="168" t="s">
        <v>494</v>
      </c>
      <c r="F22" s="168"/>
      <c r="I22" s="18" t="s">
        <v>207</v>
      </c>
      <c r="J22" s="18"/>
      <c r="K22" s="18"/>
      <c r="L22" s="18"/>
      <c r="M22" s="18" t="s">
        <v>200</v>
      </c>
      <c r="N22" s="52" t="s">
        <v>501</v>
      </c>
    </row>
    <row r="23" spans="2:14" ht="31.5" customHeight="1" x14ac:dyDescent="0.3">
      <c r="B23" s="171"/>
      <c r="C23" s="73">
        <v>9</v>
      </c>
      <c r="D23" s="167"/>
      <c r="E23" s="168"/>
      <c r="F23" s="168"/>
      <c r="I23" s="95" t="s">
        <v>387</v>
      </c>
      <c r="J23" s="18"/>
      <c r="K23" s="18"/>
      <c r="L23" s="18" t="s">
        <v>200</v>
      </c>
      <c r="M23" s="18" t="s">
        <v>200</v>
      </c>
      <c r="N23" s="52" t="s">
        <v>502</v>
      </c>
    </row>
    <row r="24" spans="2:14" ht="31.5" customHeight="1" x14ac:dyDescent="0.3">
      <c r="B24" s="171"/>
      <c r="C24" s="73">
        <v>10</v>
      </c>
      <c r="D24" s="167"/>
      <c r="E24" s="168"/>
      <c r="F24" s="168"/>
      <c r="I24" s="18" t="s">
        <v>208</v>
      </c>
      <c r="J24" s="18"/>
      <c r="K24" s="18"/>
      <c r="L24" s="18"/>
      <c r="M24" s="18"/>
      <c r="N24" s="52" t="s">
        <v>209</v>
      </c>
    </row>
    <row r="25" spans="2:14" ht="31.5" customHeight="1" x14ac:dyDescent="0.3">
      <c r="B25" s="171"/>
      <c r="C25" s="73">
        <v>11</v>
      </c>
      <c r="D25" s="167"/>
      <c r="E25" s="168"/>
      <c r="F25" s="168"/>
      <c r="I25" s="18" t="s">
        <v>210</v>
      </c>
      <c r="J25" s="18"/>
      <c r="K25" s="18" t="s">
        <v>200</v>
      </c>
      <c r="L25" s="18" t="s">
        <v>200</v>
      </c>
      <c r="M25" s="18"/>
      <c r="N25" s="52" t="s">
        <v>502</v>
      </c>
    </row>
    <row r="26" spans="2:14" ht="31.5" customHeight="1" x14ac:dyDescent="0.3">
      <c r="B26" s="171"/>
      <c r="C26" s="73">
        <v>12</v>
      </c>
      <c r="D26" s="167"/>
      <c r="E26" s="168"/>
      <c r="F26" s="168"/>
    </row>
    <row r="27" spans="2:14" ht="31.5" customHeight="1" x14ac:dyDescent="0.3">
      <c r="B27" s="171"/>
      <c r="C27" s="73">
        <v>13</v>
      </c>
      <c r="D27" s="167"/>
      <c r="E27" s="168"/>
      <c r="F27" s="168"/>
    </row>
    <row r="28" spans="2:14" ht="31.5" customHeight="1" x14ac:dyDescent="0.3">
      <c r="B28" s="176" t="s">
        <v>4</v>
      </c>
      <c r="C28" s="73">
        <v>14</v>
      </c>
      <c r="D28" s="167" t="s">
        <v>93</v>
      </c>
      <c r="E28" s="168" t="s">
        <v>490</v>
      </c>
      <c r="F28" s="168"/>
    </row>
    <row r="29" spans="2:14" ht="31.5" customHeight="1" x14ac:dyDescent="0.3">
      <c r="B29" s="176"/>
      <c r="C29" s="73">
        <v>15</v>
      </c>
      <c r="D29" s="167"/>
      <c r="E29" s="168"/>
      <c r="F29" s="168"/>
    </row>
    <row r="30" spans="2:14" ht="31.5" customHeight="1" x14ac:dyDescent="0.3">
      <c r="B30" s="176"/>
      <c r="C30" s="73">
        <v>16</v>
      </c>
      <c r="D30" s="167"/>
      <c r="E30" s="168"/>
      <c r="F30" s="168"/>
    </row>
    <row r="31" spans="2:14" ht="31.5" customHeight="1" x14ac:dyDescent="0.3">
      <c r="B31" s="176"/>
      <c r="C31" s="73">
        <v>17</v>
      </c>
      <c r="D31" s="167"/>
      <c r="E31" s="168"/>
      <c r="F31" s="168"/>
    </row>
    <row r="32" spans="2:14" ht="31.5" customHeight="1" x14ac:dyDescent="0.3">
      <c r="B32" s="176"/>
      <c r="C32" s="73">
        <v>18</v>
      </c>
      <c r="D32" s="167"/>
      <c r="E32" s="168"/>
      <c r="F32" s="168"/>
    </row>
    <row r="33" spans="2:6" ht="31.5" customHeight="1" x14ac:dyDescent="0.3">
      <c r="B33" s="176"/>
      <c r="C33" s="73">
        <v>19</v>
      </c>
      <c r="D33" s="167"/>
      <c r="E33" s="168"/>
      <c r="F33" s="168"/>
    </row>
    <row r="34" spans="2:6" ht="31.5" customHeight="1" x14ac:dyDescent="0.3">
      <c r="B34" s="166" t="s">
        <v>5</v>
      </c>
      <c r="C34" s="73">
        <v>20</v>
      </c>
      <c r="D34" s="167" t="s">
        <v>92</v>
      </c>
      <c r="E34" s="168" t="s">
        <v>491</v>
      </c>
      <c r="F34" s="168"/>
    </row>
    <row r="35" spans="2:6" ht="31.5" customHeight="1" x14ac:dyDescent="0.3">
      <c r="B35" s="166"/>
      <c r="C35" s="73">
        <v>21</v>
      </c>
      <c r="D35" s="167"/>
      <c r="E35" s="168"/>
      <c r="F35" s="168"/>
    </row>
    <row r="36" spans="2:6" ht="31.5" customHeight="1" x14ac:dyDescent="0.3">
      <c r="B36" s="166"/>
      <c r="C36" s="73">
        <v>22</v>
      </c>
      <c r="D36" s="167"/>
      <c r="E36" s="168"/>
      <c r="F36" s="168"/>
    </row>
    <row r="37" spans="2:6" ht="31.5" customHeight="1" x14ac:dyDescent="0.3">
      <c r="B37" s="166"/>
      <c r="C37" s="73">
        <v>23</v>
      </c>
      <c r="D37" s="167"/>
      <c r="E37" s="168"/>
      <c r="F37" s="168"/>
    </row>
    <row r="38" spans="2:6" ht="31.5" customHeight="1" x14ac:dyDescent="0.3">
      <c r="B38" s="166"/>
      <c r="C38" s="73">
        <v>24</v>
      </c>
      <c r="D38" s="167"/>
      <c r="E38" s="168"/>
      <c r="F38" s="168"/>
    </row>
    <row r="39" spans="2:6" ht="31.5" customHeight="1" x14ac:dyDescent="0.3">
      <c r="B39" s="166"/>
      <c r="C39" s="73">
        <v>25</v>
      </c>
      <c r="D39" s="167"/>
      <c r="E39" s="168"/>
      <c r="F39" s="168"/>
    </row>
    <row r="40" spans="2:6" ht="31.5" customHeight="1" x14ac:dyDescent="0.3"/>
  </sheetData>
  <mergeCells count="24">
    <mergeCell ref="H2:M2"/>
    <mergeCell ref="I3:I4"/>
    <mergeCell ref="H3:H4"/>
    <mergeCell ref="B28:B33"/>
    <mergeCell ref="D28:D33"/>
    <mergeCell ref="E28:F33"/>
    <mergeCell ref="D9:F9"/>
    <mergeCell ref="D8:F8"/>
    <mergeCell ref="D10:F10"/>
    <mergeCell ref="D4:F4"/>
    <mergeCell ref="B3:F3"/>
    <mergeCell ref="D5:F5"/>
    <mergeCell ref="D6:F6"/>
    <mergeCell ref="D7:F7"/>
    <mergeCell ref="B34:B39"/>
    <mergeCell ref="D34:D39"/>
    <mergeCell ref="E34:F39"/>
    <mergeCell ref="D14:F14"/>
    <mergeCell ref="B15:B21"/>
    <mergeCell ref="D15:D21"/>
    <mergeCell ref="E15:F21"/>
    <mergeCell ref="B22:B27"/>
    <mergeCell ref="D22:D27"/>
    <mergeCell ref="E22:F27"/>
  </mergeCells>
  <dataValidations count="1">
    <dataValidation type="list" allowBlank="1" showInputMessage="1" showErrorMessage="1" sqref="J15:M23">
      <formula1>"X"</formula1>
    </dataValidation>
  </dataValidations>
  <pageMargins left="0.7" right="0.7" top="0.75" bottom="0.75" header="0.3" footer="0.3"/>
  <pageSetup orientation="portrait" horizontalDpi="4294967293" verticalDpi="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J15" sqref="J15"/>
    </sheetView>
  </sheetViews>
  <sheetFormatPr baseColWidth="10" defaultColWidth="11.44140625" defaultRowHeight="14.4" x14ac:dyDescent="0.3"/>
  <cols>
    <col min="1" max="1" width="26.77734375" customWidth="1"/>
    <col min="2" max="2" width="13.44140625" customWidth="1"/>
    <col min="3" max="3" width="12.5546875" customWidth="1"/>
    <col min="4" max="4" width="16" customWidth="1"/>
    <col min="5" max="5" width="17.21875" customWidth="1"/>
    <col min="6" max="6" width="16.77734375" customWidth="1"/>
    <col min="7" max="7" width="15.21875" customWidth="1"/>
    <col min="8" max="8" width="17.77734375" customWidth="1"/>
  </cols>
  <sheetData>
    <row r="1" spans="1:8" x14ac:dyDescent="0.3">
      <c r="A1" t="s">
        <v>465</v>
      </c>
      <c r="B1" t="s">
        <v>224</v>
      </c>
      <c r="C1" t="s">
        <v>393</v>
      </c>
      <c r="D1" t="s">
        <v>424</v>
      </c>
      <c r="E1" t="s">
        <v>394</v>
      </c>
      <c r="F1" t="s">
        <v>272</v>
      </c>
      <c r="G1" t="s">
        <v>274</v>
      </c>
      <c r="H1" t="s">
        <v>391</v>
      </c>
    </row>
    <row r="2" spans="1:8" x14ac:dyDescent="0.3">
      <c r="A2" t="s">
        <v>52</v>
      </c>
      <c r="B2" t="s">
        <v>52</v>
      </c>
      <c r="C2">
        <v>32</v>
      </c>
      <c r="D2" t="s">
        <v>440</v>
      </c>
      <c r="E2" t="s">
        <v>438</v>
      </c>
      <c r="F2" t="s">
        <v>89</v>
      </c>
      <c r="G2" t="s">
        <v>439</v>
      </c>
      <c r="H2" t="s">
        <v>431</v>
      </c>
    </row>
    <row r="3" spans="1:8" x14ac:dyDescent="0.3">
      <c r="A3" t="s">
        <v>428</v>
      </c>
      <c r="B3" t="s">
        <v>428</v>
      </c>
      <c r="C3">
        <v>1</v>
      </c>
      <c r="D3" t="s">
        <v>440</v>
      </c>
      <c r="E3" t="s">
        <v>242</v>
      </c>
      <c r="F3" t="s">
        <v>15</v>
      </c>
      <c r="G3" t="s">
        <v>169</v>
      </c>
      <c r="H3" t="s">
        <v>433</v>
      </c>
    </row>
    <row r="4" spans="1:8" x14ac:dyDescent="0.3">
      <c r="A4" t="s">
        <v>428</v>
      </c>
      <c r="B4" t="s">
        <v>428</v>
      </c>
      <c r="C4">
        <v>2</v>
      </c>
      <c r="D4" t="s">
        <v>440</v>
      </c>
      <c r="E4" t="s">
        <v>240</v>
      </c>
      <c r="F4" t="s">
        <v>15</v>
      </c>
      <c r="G4" t="s">
        <v>170</v>
      </c>
      <c r="H4" t="s">
        <v>406</v>
      </c>
    </row>
    <row r="5" spans="1:8" x14ac:dyDescent="0.3">
      <c r="A5" t="s">
        <v>428</v>
      </c>
      <c r="B5" t="s">
        <v>428</v>
      </c>
      <c r="C5">
        <v>3</v>
      </c>
      <c r="D5" t="s">
        <v>440</v>
      </c>
      <c r="E5" t="s">
        <v>430</v>
      </c>
      <c r="F5" t="s">
        <v>15</v>
      </c>
      <c r="G5" t="s">
        <v>171</v>
      </c>
      <c r="H5" t="s">
        <v>434</v>
      </c>
    </row>
    <row r="6" spans="1:8" x14ac:dyDescent="0.3">
      <c r="A6" t="s">
        <v>428</v>
      </c>
      <c r="B6" t="s">
        <v>428</v>
      </c>
      <c r="C6">
        <v>4</v>
      </c>
      <c r="D6" t="s">
        <v>440</v>
      </c>
      <c r="E6" t="s">
        <v>241</v>
      </c>
      <c r="F6" t="s">
        <v>15</v>
      </c>
      <c r="G6" t="s">
        <v>172</v>
      </c>
      <c r="H6" t="s">
        <v>407</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F16" sqref="F16"/>
    </sheetView>
  </sheetViews>
  <sheetFormatPr baseColWidth="10" defaultColWidth="11.44140625" defaultRowHeight="14.4" x14ac:dyDescent="0.3"/>
  <cols>
    <col min="1" max="1" width="26.77734375" customWidth="1"/>
    <col min="2" max="2" width="13.44140625" customWidth="1"/>
    <col min="3" max="3" width="12.5546875" customWidth="1"/>
    <col min="4" max="4" width="16" customWidth="1"/>
    <col min="5" max="5" width="17.21875" customWidth="1"/>
    <col min="6" max="6" width="16.77734375" customWidth="1"/>
    <col min="7" max="7" width="15.21875" customWidth="1"/>
    <col min="8" max="8" width="17.77734375" customWidth="1"/>
  </cols>
  <sheetData>
    <row r="1" spans="1:8" x14ac:dyDescent="0.3">
      <c r="A1" t="s">
        <v>465</v>
      </c>
      <c r="B1" t="s">
        <v>224</v>
      </c>
      <c r="C1" t="s">
        <v>393</v>
      </c>
      <c r="D1" t="s">
        <v>424</v>
      </c>
      <c r="E1" t="s">
        <v>394</v>
      </c>
      <c r="F1" t="s">
        <v>272</v>
      </c>
      <c r="G1" t="s">
        <v>274</v>
      </c>
      <c r="H1" t="s">
        <v>391</v>
      </c>
    </row>
    <row r="2" spans="1:8" x14ac:dyDescent="0.3">
      <c r="A2" t="s">
        <v>52</v>
      </c>
      <c r="B2" t="s">
        <v>52</v>
      </c>
      <c r="C2">
        <v>33</v>
      </c>
      <c r="D2" t="s">
        <v>441</v>
      </c>
      <c r="E2" t="s">
        <v>243</v>
      </c>
      <c r="F2" t="s">
        <v>89</v>
      </c>
      <c r="G2" t="s">
        <v>178</v>
      </c>
      <c r="H2" t="s">
        <v>432</v>
      </c>
    </row>
    <row r="3" spans="1:8" x14ac:dyDescent="0.3">
      <c r="A3" t="s">
        <v>428</v>
      </c>
      <c r="B3" t="s">
        <v>428</v>
      </c>
      <c r="C3">
        <v>5</v>
      </c>
      <c r="D3" t="s">
        <v>441</v>
      </c>
      <c r="E3" t="s">
        <v>9</v>
      </c>
      <c r="F3" t="s">
        <v>15</v>
      </c>
      <c r="G3" t="s">
        <v>179</v>
      </c>
      <c r="H3" t="s">
        <v>315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D14" sqref="D14"/>
    </sheetView>
  </sheetViews>
  <sheetFormatPr baseColWidth="10" defaultColWidth="11.44140625" defaultRowHeight="14.4" x14ac:dyDescent="0.3"/>
  <cols>
    <col min="1" max="1" width="26.77734375" customWidth="1"/>
    <col min="2" max="2" width="13.44140625" customWidth="1"/>
    <col min="3" max="3" width="12.5546875" customWidth="1"/>
    <col min="4" max="4" width="16" customWidth="1"/>
    <col min="5" max="5" width="17.21875" customWidth="1"/>
    <col min="6" max="6" width="16.77734375" customWidth="1"/>
    <col min="7" max="7" width="15.21875" customWidth="1"/>
    <col min="8" max="8" width="17.77734375" customWidth="1"/>
  </cols>
  <sheetData>
    <row r="1" spans="1:8" x14ac:dyDescent="0.3">
      <c r="A1" t="s">
        <v>465</v>
      </c>
      <c r="B1" t="s">
        <v>224</v>
      </c>
      <c r="C1" t="s">
        <v>393</v>
      </c>
      <c r="D1" t="s">
        <v>424</v>
      </c>
      <c r="E1" t="s">
        <v>394</v>
      </c>
      <c r="F1" t="s">
        <v>272</v>
      </c>
      <c r="G1" t="s">
        <v>274</v>
      </c>
      <c r="H1" t="s">
        <v>391</v>
      </c>
    </row>
    <row r="2" spans="1:8" x14ac:dyDescent="0.3">
      <c r="A2" t="s">
        <v>52</v>
      </c>
      <c r="B2" t="s">
        <v>52</v>
      </c>
      <c r="C2">
        <v>32</v>
      </c>
      <c r="D2" t="s">
        <v>440</v>
      </c>
      <c r="E2" t="s">
        <v>438</v>
      </c>
      <c r="F2" t="s">
        <v>89</v>
      </c>
      <c r="G2" t="s">
        <v>439</v>
      </c>
      <c r="H2" t="s">
        <v>431</v>
      </c>
    </row>
    <row r="3" spans="1:8" x14ac:dyDescent="0.3">
      <c r="A3" t="s">
        <v>428</v>
      </c>
      <c r="B3" t="s">
        <v>428</v>
      </c>
      <c r="C3">
        <v>1</v>
      </c>
      <c r="D3" t="s">
        <v>440</v>
      </c>
      <c r="E3" t="s">
        <v>242</v>
      </c>
      <c r="F3" t="s">
        <v>15</v>
      </c>
      <c r="G3" t="s">
        <v>169</v>
      </c>
      <c r="H3" t="s">
        <v>433</v>
      </c>
    </row>
    <row r="4" spans="1:8" x14ac:dyDescent="0.3">
      <c r="A4" t="s">
        <v>428</v>
      </c>
      <c r="B4" t="s">
        <v>428</v>
      </c>
      <c r="C4">
        <v>2</v>
      </c>
      <c r="D4" t="s">
        <v>440</v>
      </c>
      <c r="E4" t="s">
        <v>240</v>
      </c>
      <c r="F4" t="s">
        <v>15</v>
      </c>
      <c r="G4" t="s">
        <v>170</v>
      </c>
      <c r="H4" t="s">
        <v>406</v>
      </c>
    </row>
    <row r="5" spans="1:8" x14ac:dyDescent="0.3">
      <c r="A5" t="s">
        <v>428</v>
      </c>
      <c r="B5" t="s">
        <v>428</v>
      </c>
      <c r="C5">
        <v>3</v>
      </c>
      <c r="D5" t="s">
        <v>440</v>
      </c>
      <c r="E5" t="s">
        <v>430</v>
      </c>
      <c r="F5" t="s">
        <v>15</v>
      </c>
      <c r="G5" t="s">
        <v>171</v>
      </c>
      <c r="H5" t="s">
        <v>434</v>
      </c>
    </row>
    <row r="6" spans="1:8" x14ac:dyDescent="0.3">
      <c r="A6" t="s">
        <v>428</v>
      </c>
      <c r="B6" t="s">
        <v>428</v>
      </c>
      <c r="C6">
        <v>4</v>
      </c>
      <c r="D6" t="s">
        <v>440</v>
      </c>
      <c r="E6" t="s">
        <v>241</v>
      </c>
      <c r="F6" t="s">
        <v>15</v>
      </c>
      <c r="G6" t="s">
        <v>172</v>
      </c>
      <c r="H6" t="s">
        <v>407</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sqref="A1:H3"/>
    </sheetView>
  </sheetViews>
  <sheetFormatPr baseColWidth="10" defaultColWidth="11.44140625" defaultRowHeight="14.4" x14ac:dyDescent="0.3"/>
  <cols>
    <col min="1" max="1" width="26.77734375" customWidth="1"/>
    <col min="2" max="2" width="13.44140625" customWidth="1"/>
    <col min="3" max="3" width="12.5546875" customWidth="1"/>
    <col min="4" max="4" width="16" customWidth="1"/>
    <col min="5" max="5" width="17.21875" customWidth="1"/>
    <col min="6" max="6" width="16.77734375" customWidth="1"/>
    <col min="7" max="7" width="15.21875" customWidth="1"/>
    <col min="8" max="8" width="17.77734375" customWidth="1"/>
  </cols>
  <sheetData>
    <row r="1" spans="1:8" x14ac:dyDescent="0.3">
      <c r="A1" t="s">
        <v>465</v>
      </c>
      <c r="B1" t="s">
        <v>224</v>
      </c>
      <c r="C1" t="s">
        <v>393</v>
      </c>
      <c r="D1" t="s">
        <v>424</v>
      </c>
      <c r="E1" t="s">
        <v>394</v>
      </c>
      <c r="F1" t="s">
        <v>272</v>
      </c>
      <c r="G1" t="s">
        <v>274</v>
      </c>
      <c r="H1" t="s">
        <v>391</v>
      </c>
    </row>
    <row r="2" spans="1:8" x14ac:dyDescent="0.3">
      <c r="A2" t="s">
        <v>52</v>
      </c>
      <c r="B2" t="s">
        <v>52</v>
      </c>
      <c r="C2">
        <v>28</v>
      </c>
      <c r="D2" t="s">
        <v>442</v>
      </c>
      <c r="E2" t="s">
        <v>241</v>
      </c>
      <c r="F2" t="s">
        <v>89</v>
      </c>
      <c r="G2" t="s">
        <v>172</v>
      </c>
      <c r="H2" t="s">
        <v>436</v>
      </c>
    </row>
    <row r="3" spans="1:8" x14ac:dyDescent="0.3">
      <c r="A3" t="s">
        <v>428</v>
      </c>
      <c r="B3" t="s">
        <v>428</v>
      </c>
      <c r="C3">
        <v>7</v>
      </c>
      <c r="D3" t="s">
        <v>442</v>
      </c>
      <c r="E3" t="s">
        <v>243</v>
      </c>
      <c r="F3" t="s">
        <v>15</v>
      </c>
      <c r="G3" t="s">
        <v>178</v>
      </c>
      <c r="H3" t="s">
        <v>432</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sqref="A1:H2"/>
    </sheetView>
  </sheetViews>
  <sheetFormatPr baseColWidth="10" defaultColWidth="11.44140625" defaultRowHeight="14.4" x14ac:dyDescent="0.3"/>
  <cols>
    <col min="1" max="1" width="26.77734375" customWidth="1"/>
    <col min="2" max="2" width="13.44140625" customWidth="1"/>
    <col min="3" max="3" width="12.5546875" customWidth="1"/>
    <col min="4" max="4" width="16" customWidth="1"/>
    <col min="5" max="5" width="17.21875" customWidth="1"/>
    <col min="6" max="6" width="16.77734375" customWidth="1"/>
    <col min="7" max="7" width="15.21875" customWidth="1"/>
    <col min="8" max="8" width="17.77734375" customWidth="1"/>
  </cols>
  <sheetData>
    <row r="1" spans="1:8" x14ac:dyDescent="0.3">
      <c r="A1" t="s">
        <v>465</v>
      </c>
      <c r="B1" t="s">
        <v>224</v>
      </c>
      <c r="C1" t="s">
        <v>393</v>
      </c>
      <c r="D1" t="s">
        <v>424</v>
      </c>
      <c r="E1" t="s">
        <v>394</v>
      </c>
      <c r="F1" t="s">
        <v>272</v>
      </c>
      <c r="G1" t="s">
        <v>274</v>
      </c>
      <c r="H1" t="s">
        <v>391</v>
      </c>
    </row>
    <row r="2" spans="1:8" x14ac:dyDescent="0.3">
      <c r="A2" t="s">
        <v>52</v>
      </c>
      <c r="B2" t="s">
        <v>52</v>
      </c>
      <c r="C2">
        <v>31</v>
      </c>
      <c r="D2" t="s">
        <v>443</v>
      </c>
      <c r="E2" t="s">
        <v>240</v>
      </c>
      <c r="F2" t="s">
        <v>89</v>
      </c>
      <c r="G2" t="s">
        <v>170</v>
      </c>
      <c r="H2" t="s">
        <v>437</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F0"/>
  </sheetPr>
  <dimension ref="B1:AM21"/>
  <sheetViews>
    <sheetView zoomScale="80" zoomScaleNormal="80" zoomScalePageLayoutView="32" workbookViewId="0">
      <selection activeCell="C5" sqref="C5:C6"/>
    </sheetView>
  </sheetViews>
  <sheetFormatPr baseColWidth="10" defaultColWidth="11.21875" defaultRowHeight="13.8" x14ac:dyDescent="0.3"/>
  <cols>
    <col min="1" max="1" width="2.21875" style="3" customWidth="1"/>
    <col min="2" max="2" width="10.77734375" style="3" hidden="1" customWidth="1"/>
    <col min="3" max="3" width="20.5546875" style="6" customWidth="1"/>
    <col min="4" max="4" width="22.21875" style="6" customWidth="1"/>
    <col min="5" max="5" width="17.21875" style="6" customWidth="1"/>
    <col min="6" max="6" width="14.5546875" style="6" customWidth="1"/>
    <col min="7" max="7" width="13.77734375" style="6" customWidth="1"/>
    <col min="8" max="8" width="21.77734375" style="6" customWidth="1"/>
    <col min="9" max="9" width="20.77734375" style="6" customWidth="1"/>
    <col min="10" max="10" width="48.21875" style="150" customWidth="1"/>
    <col min="11" max="11" width="6.5546875" style="2" customWidth="1"/>
    <col min="12" max="12" width="6.21875" style="2" customWidth="1"/>
    <col min="13" max="13" width="7.21875" style="2" customWidth="1"/>
    <col min="14" max="14" width="6.77734375" style="2" customWidth="1"/>
    <col min="15" max="15" width="24.77734375" style="3" customWidth="1"/>
    <col min="16" max="16" width="28.21875" style="3" customWidth="1"/>
    <col min="17" max="17" width="5.77734375" style="3" customWidth="1"/>
    <col min="18" max="18" width="4.77734375" style="3" hidden="1" customWidth="1"/>
    <col min="19" max="22" width="6.77734375" style="3" hidden="1" customWidth="1"/>
    <col min="23" max="27" width="6.77734375" style="3" customWidth="1"/>
    <col min="28" max="28" width="8.21875" style="4" customWidth="1"/>
    <col min="29" max="29" width="16" style="4" customWidth="1"/>
    <col min="30" max="30" width="17.5546875" style="21" customWidth="1"/>
    <col min="31" max="31" width="26.77734375" style="21" customWidth="1"/>
    <col min="32" max="32" width="17.77734375" style="21" customWidth="1"/>
    <col min="33" max="33" width="38.77734375" style="23" customWidth="1"/>
    <col min="34" max="34" width="9" style="23" customWidth="1"/>
    <col min="35" max="35" width="27.77734375" style="21" bestFit="1" customWidth="1"/>
    <col min="36" max="36" width="17.21875" style="21" customWidth="1"/>
    <col min="37" max="37" width="18.21875" style="21" bestFit="1" customWidth="1"/>
    <col min="38" max="38" width="11.21875" style="21"/>
    <col min="39" max="39" width="27.77734375" style="3" bestFit="1" customWidth="1"/>
    <col min="40" max="41" width="15.21875" style="3" customWidth="1"/>
    <col min="42" max="16384" width="11.21875" style="3"/>
  </cols>
  <sheetData>
    <row r="1" spans="2:39" x14ac:dyDescent="0.3">
      <c r="AB1" s="3"/>
      <c r="AC1" s="3"/>
    </row>
    <row r="2" spans="2:39" ht="63.75" customHeight="1" x14ac:dyDescent="0.3">
      <c r="C2" s="16"/>
      <c r="D2" s="187" t="s">
        <v>450</v>
      </c>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H2" s="34"/>
      <c r="AI2" s="68" t="s">
        <v>190</v>
      </c>
      <c r="AJ2" s="68" t="s">
        <v>94</v>
      </c>
      <c r="AK2" s="68" t="s">
        <v>193</v>
      </c>
      <c r="AL2" s="22"/>
    </row>
    <row r="3" spans="2:39" ht="27" customHeight="1" x14ac:dyDescent="0.3">
      <c r="B3" s="193" t="s">
        <v>38</v>
      </c>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I3" s="51" t="s">
        <v>95</v>
      </c>
      <c r="AJ3" s="42">
        <f>AVERAGE(Q7:Q1048576)</f>
        <v>2.7333333333333334</v>
      </c>
      <c r="AK3" s="42">
        <f>AVERAGE(AA7:AA1048576)</f>
        <v>3.4055555555555554</v>
      </c>
    </row>
    <row r="4" spans="2:39" ht="24.75" customHeight="1" x14ac:dyDescent="0.3">
      <c r="B4" s="192" t="s">
        <v>40</v>
      </c>
      <c r="C4" s="192"/>
      <c r="D4" s="192"/>
      <c r="E4" s="192"/>
      <c r="F4" s="192"/>
      <c r="G4" s="192"/>
      <c r="H4" s="192"/>
      <c r="I4" s="192"/>
      <c r="J4" s="192"/>
      <c r="K4" s="192" t="s">
        <v>41</v>
      </c>
      <c r="L4" s="192"/>
      <c r="M4" s="192"/>
      <c r="N4" s="192"/>
      <c r="O4" s="192"/>
      <c r="P4" s="192"/>
      <c r="Q4" s="190" t="s">
        <v>39</v>
      </c>
      <c r="R4" s="191"/>
      <c r="S4" s="191"/>
      <c r="T4" s="191"/>
      <c r="U4" s="191"/>
      <c r="V4" s="191"/>
      <c r="W4" s="191"/>
      <c r="X4" s="191"/>
      <c r="Y4" s="191"/>
      <c r="Z4" s="191"/>
      <c r="AA4" s="191"/>
      <c r="AB4" s="191"/>
      <c r="AC4" s="191"/>
      <c r="AM4" s="21"/>
    </row>
    <row r="5" spans="2:39" ht="46.5" customHeight="1" x14ac:dyDescent="0.3">
      <c r="B5" s="188" t="s">
        <v>392</v>
      </c>
      <c r="C5" s="188" t="s">
        <v>444</v>
      </c>
      <c r="D5" s="188" t="s">
        <v>224</v>
      </c>
      <c r="E5" s="188" t="s">
        <v>393</v>
      </c>
      <c r="F5" s="188" t="s">
        <v>424</v>
      </c>
      <c r="G5" s="188" t="s">
        <v>394</v>
      </c>
      <c r="H5" s="188" t="s">
        <v>272</v>
      </c>
      <c r="I5" s="188" t="s">
        <v>274</v>
      </c>
      <c r="J5" s="188" t="s">
        <v>391</v>
      </c>
      <c r="K5" s="188" t="s">
        <v>395</v>
      </c>
      <c r="L5" s="188"/>
      <c r="M5" s="188"/>
      <c r="N5" s="188"/>
      <c r="O5" s="188" t="s">
        <v>396</v>
      </c>
      <c r="P5" s="188" t="s">
        <v>397</v>
      </c>
      <c r="Q5" s="189" t="s">
        <v>94</v>
      </c>
      <c r="R5" s="189" t="s">
        <v>256</v>
      </c>
      <c r="S5" s="188" t="s">
        <v>285</v>
      </c>
      <c r="T5" s="188"/>
      <c r="U5" s="188"/>
      <c r="V5" s="188"/>
      <c r="W5" s="188" t="s">
        <v>398</v>
      </c>
      <c r="X5" s="188"/>
      <c r="Y5" s="188"/>
      <c r="Z5" s="188"/>
      <c r="AA5" s="189" t="s">
        <v>417</v>
      </c>
      <c r="AB5" s="189" t="s">
        <v>399</v>
      </c>
      <c r="AC5" s="194" t="s">
        <v>400</v>
      </c>
      <c r="AL5" s="29"/>
      <c r="AM5" s="21"/>
    </row>
    <row r="6" spans="2:39" ht="44.25" customHeight="1" x14ac:dyDescent="0.3">
      <c r="B6" s="188"/>
      <c r="C6" s="188"/>
      <c r="D6" s="188"/>
      <c r="E6" s="188"/>
      <c r="F6" s="188"/>
      <c r="G6" s="188"/>
      <c r="H6" s="188"/>
      <c r="I6" s="188"/>
      <c r="J6" s="188"/>
      <c r="K6" s="94" t="s">
        <v>47</v>
      </c>
      <c r="L6" s="94" t="s">
        <v>44</v>
      </c>
      <c r="M6" s="94" t="s">
        <v>46</v>
      </c>
      <c r="N6" s="94" t="s">
        <v>45</v>
      </c>
      <c r="O6" s="188"/>
      <c r="P6" s="188"/>
      <c r="Q6" s="189"/>
      <c r="R6" s="189"/>
      <c r="S6" s="94" t="s">
        <v>47</v>
      </c>
      <c r="T6" s="94" t="s">
        <v>44</v>
      </c>
      <c r="U6" s="94" t="s">
        <v>46</v>
      </c>
      <c r="V6" s="94" t="s">
        <v>45</v>
      </c>
      <c r="W6" s="94" t="s">
        <v>47</v>
      </c>
      <c r="X6" s="94" t="s">
        <v>44</v>
      </c>
      <c r="Y6" s="94" t="s">
        <v>46</v>
      </c>
      <c r="Z6" s="94" t="s">
        <v>45</v>
      </c>
      <c r="AA6" s="189"/>
      <c r="AB6" s="189"/>
      <c r="AC6" s="194"/>
      <c r="AL6" s="30"/>
      <c r="AM6" s="21"/>
    </row>
    <row r="7" spans="2:39" ht="96" customHeight="1" x14ac:dyDescent="0.3">
      <c r="B7" s="74"/>
      <c r="C7" s="74" t="s">
        <v>553</v>
      </c>
      <c r="D7" s="74" t="s">
        <v>518</v>
      </c>
      <c r="E7" s="74">
        <f t="shared" ref="E7:E10" si="0">ROW(C7)-6</f>
        <v>1</v>
      </c>
      <c r="F7" s="74" t="s">
        <v>503</v>
      </c>
      <c r="G7" s="74" t="s">
        <v>530</v>
      </c>
      <c r="H7" s="92" t="str">
        <f>IFERROR(VLOOKUP($C7,Tablas1!$B$3:$C$22,2,0),"ERROR")</f>
        <v>LAFT16</v>
      </c>
      <c r="I7" s="93" t="str">
        <f>IFERROR(VLOOKUP(G7,Tablas1!$H$2:$I$14,2,0),"ERROR")</f>
        <v>FAC4</v>
      </c>
      <c r="J7" s="92" t="s">
        <v>565</v>
      </c>
      <c r="K7" s="76" t="s">
        <v>200</v>
      </c>
      <c r="L7" s="76" t="s">
        <v>200</v>
      </c>
      <c r="M7" s="76" t="s">
        <v>200</v>
      </c>
      <c r="N7" s="76" t="s">
        <v>200</v>
      </c>
      <c r="O7" s="140" t="s">
        <v>593</v>
      </c>
      <c r="P7" s="75" t="str">
        <f>VLOOKUP(CONCATENATE(IF(K7="X",1,0),IF(L7="X",2,0),IF(M7="X",3,0),IF(N7="X",4,0)),Puntuaciones!$I$15:$N$67,6,0)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7" s="73">
        <v>2</v>
      </c>
      <c r="R7" s="75">
        <f>COUNTIF(K7:N7,"X")</f>
        <v>4</v>
      </c>
      <c r="S7" s="81">
        <f>IF(K7="X",$W7/$R7,0)</f>
        <v>0.5</v>
      </c>
      <c r="T7" s="81">
        <f>IF(L7="X",$X7/$R7,0)</f>
        <v>1.25</v>
      </c>
      <c r="U7" s="81">
        <f>IF(M7="X",$Y7/$R7,0)</f>
        <v>0.75</v>
      </c>
      <c r="V7" s="81">
        <f>IF(N7="X",$Z7/$R7,0)</f>
        <v>1.25</v>
      </c>
      <c r="W7" s="90">
        <v>2</v>
      </c>
      <c r="X7" s="90">
        <v>5</v>
      </c>
      <c r="Y7" s="90">
        <v>3</v>
      </c>
      <c r="Z7" s="90">
        <v>5</v>
      </c>
      <c r="AA7" s="91">
        <f t="shared" ref="AA7" si="1">SUM(S7:V7)</f>
        <v>3.75</v>
      </c>
      <c r="AB7" s="159">
        <f>Q7*AA7</f>
        <v>7.5</v>
      </c>
      <c r="AC7" s="138" t="str">
        <f t="shared" ref="AC7" si="2">IF(AND(AB7&gt;0,AB7&lt;8),"BAJO",IF(AND(AB7&gt;=8,AB7&lt;14),"MEDIO",IF(AND(AB7&gt;=14,AB7&lt;20),"ALTO",IF(AND(AB7&gt;=20,AB7&lt;26),"EXTREMO",""))))</f>
        <v>BAJO</v>
      </c>
    </row>
    <row r="8" spans="2:39" ht="111.75" customHeight="1" x14ac:dyDescent="0.3">
      <c r="B8" s="74"/>
      <c r="C8" s="74" t="s">
        <v>553</v>
      </c>
      <c r="D8" s="74" t="s">
        <v>521</v>
      </c>
      <c r="E8" s="74">
        <f t="shared" si="0"/>
        <v>2</v>
      </c>
      <c r="F8" s="74" t="s">
        <v>504</v>
      </c>
      <c r="G8" s="74" t="s">
        <v>530</v>
      </c>
      <c r="H8" s="92" t="str">
        <f>IFERROR(VLOOKUP($C8,Tablas1!$B$3:$C$22,2,0),"ERROR")</f>
        <v>LAFT16</v>
      </c>
      <c r="I8" s="93" t="str">
        <f>IFERROR(VLOOKUP(G8,Tablas1!$H$2:$I$14,2,0),"ERROR")</f>
        <v>FAC4</v>
      </c>
      <c r="J8" s="92" t="s">
        <v>519</v>
      </c>
      <c r="K8" s="76"/>
      <c r="L8" s="76" t="s">
        <v>200</v>
      </c>
      <c r="M8" s="76" t="s">
        <v>200</v>
      </c>
      <c r="N8" s="76" t="s">
        <v>200</v>
      </c>
      <c r="O8" s="74" t="s">
        <v>520</v>
      </c>
      <c r="P8" s="75" t="str">
        <f>VLOOKUP(CONCATENATE(IF(K8="X",1,0),IF(L8="X",2,0),IF(M8="X",3,0),IF(N8="X",4,0)),Puntuaciones!$I$15:$N$67,6,0)</f>
        <v>Mayor exposición de la Lotería al riesgo de LA/FT/FPADM.
Deterioro de los procesos operativos.
Pérdida de reputación.
Procesos judiciales, disciplinarios y/o legales.
Sanciones del supervisor, regulador y/o entes de control.
Pérdida de mercado.</v>
      </c>
      <c r="Q8" s="73">
        <v>3</v>
      </c>
      <c r="R8" s="75">
        <f t="shared" ref="R8" si="3">COUNTIF(K8:N8,"X")</f>
        <v>3</v>
      </c>
      <c r="S8" s="81">
        <f t="shared" ref="S8" si="4">IF(K8="X",$W8/$R8,0)</f>
        <v>0</v>
      </c>
      <c r="T8" s="81">
        <f t="shared" ref="T8" si="5">IF(L8="X",$X8/$R8,0)</f>
        <v>1.6666666666666667</v>
      </c>
      <c r="U8" s="81">
        <f t="shared" ref="U8" si="6">IF(M8="X",$Y8/$R8,0)</f>
        <v>1.3333333333333333</v>
      </c>
      <c r="V8" s="81">
        <f t="shared" ref="V8" si="7">IF(N8="X",$Z8/$R8,0)</f>
        <v>1</v>
      </c>
      <c r="W8" s="90">
        <v>1</v>
      </c>
      <c r="X8" s="90">
        <v>5</v>
      </c>
      <c r="Y8" s="90">
        <v>4</v>
      </c>
      <c r="Z8" s="90">
        <v>3</v>
      </c>
      <c r="AA8" s="91">
        <f t="shared" ref="AA8:AA16" si="8">SUM(S8:V8)</f>
        <v>4</v>
      </c>
      <c r="AB8" s="77">
        <f t="shared" ref="AB8:AB16" si="9">Q8*AA8</f>
        <v>12</v>
      </c>
      <c r="AC8" s="138" t="str">
        <f t="shared" ref="AC8:AC16" si="10">IF(AND(AB8&gt;0,AB8&lt;8),"BAJO",IF(AND(AB8&gt;=8,AB8&lt;14),"MEDIO",IF(AND(AB8&gt;=14,AB8&lt;20),"ALTO",IF(AND(AB8&gt;=20,AB8&lt;26),"EXTREMO",""))))</f>
        <v>MEDIO</v>
      </c>
    </row>
    <row r="9" spans="2:39" ht="111.75" customHeight="1" x14ac:dyDescent="0.3">
      <c r="B9" s="74"/>
      <c r="C9" s="74" t="s">
        <v>458</v>
      </c>
      <c r="D9" s="74" t="s">
        <v>512</v>
      </c>
      <c r="E9" s="74">
        <f t="shared" si="0"/>
        <v>3</v>
      </c>
      <c r="F9" s="74" t="s">
        <v>505</v>
      </c>
      <c r="G9" s="74" t="s">
        <v>435</v>
      </c>
      <c r="H9" s="92" t="str">
        <f>IFERROR(VLOOKUP($C9,Tablas1!$B$3:$C$22,2,0),"ERROR")</f>
        <v>LAFT2</v>
      </c>
      <c r="I9" s="93" t="str">
        <f>IFERROR(VLOOKUP(G9,Tablas1!$H$2:$I$14,2,0),"ERROR")</f>
        <v>FAC1</v>
      </c>
      <c r="J9" s="153" t="s">
        <v>601</v>
      </c>
      <c r="K9" s="76" t="s">
        <v>200</v>
      </c>
      <c r="L9" s="76" t="s">
        <v>200</v>
      </c>
      <c r="M9" s="76" t="s">
        <v>200</v>
      </c>
      <c r="N9" s="76" t="s">
        <v>200</v>
      </c>
      <c r="O9" s="139" t="s">
        <v>516</v>
      </c>
      <c r="P9" s="75" t="str">
        <f>VLOOKUP(CONCATENATE(IF(K9="X",1,0),IF(L9="X",2,0),IF(M9="X",3,0),IF(N9="X",4,0)),Puntuaciones!$I$15:$N$67,6,0)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9" s="73">
        <v>3</v>
      </c>
      <c r="R9" s="75">
        <f t="shared" ref="R9" si="11">COUNTIF(K9:N9,"X")</f>
        <v>4</v>
      </c>
      <c r="S9" s="81">
        <f t="shared" ref="S9" si="12">IF(K9="X",$W9/$R9,0)</f>
        <v>1</v>
      </c>
      <c r="T9" s="81">
        <f t="shared" ref="T9" si="13">IF(L9="X",$X9/$R9,0)</f>
        <v>0.5</v>
      </c>
      <c r="U9" s="81">
        <f t="shared" ref="U9" si="14">IF(M9="X",$Y9/$R9,0)</f>
        <v>1</v>
      </c>
      <c r="V9" s="81">
        <f t="shared" ref="V9" si="15">IF(N9="X",$Z9/$R9,0)</f>
        <v>0.75</v>
      </c>
      <c r="W9" s="90">
        <v>4</v>
      </c>
      <c r="X9" s="90">
        <v>2</v>
      </c>
      <c r="Y9" s="90">
        <v>4</v>
      </c>
      <c r="Z9" s="90">
        <v>3</v>
      </c>
      <c r="AA9" s="91">
        <f t="shared" si="8"/>
        <v>3.25</v>
      </c>
      <c r="AB9" s="77">
        <f t="shared" si="9"/>
        <v>9.75</v>
      </c>
      <c r="AC9" s="138" t="str">
        <f t="shared" si="10"/>
        <v>MEDIO</v>
      </c>
    </row>
    <row r="10" spans="2:39" ht="111.75" customHeight="1" x14ac:dyDescent="0.3">
      <c r="B10" s="74"/>
      <c r="C10" s="74" t="s">
        <v>458</v>
      </c>
      <c r="D10" s="74" t="s">
        <v>514</v>
      </c>
      <c r="E10" s="74">
        <f t="shared" si="0"/>
        <v>4</v>
      </c>
      <c r="F10" s="74" t="s">
        <v>506</v>
      </c>
      <c r="G10" s="74" t="s">
        <v>243</v>
      </c>
      <c r="H10" s="92" t="str">
        <f>IFERROR(VLOOKUP($C10,Tablas1!$B$3:$C$22,2,0),"ERROR")</f>
        <v>LAFT2</v>
      </c>
      <c r="I10" s="93" t="str">
        <f>IFERROR(VLOOKUP(G10,Tablas1!$H$2:$I$14,2,0),"ERROR")</f>
        <v>FAC2</v>
      </c>
      <c r="J10" s="153" t="s">
        <v>513</v>
      </c>
      <c r="K10" s="76" t="s">
        <v>200</v>
      </c>
      <c r="L10" s="76" t="s">
        <v>200</v>
      </c>
      <c r="M10" s="76" t="s">
        <v>200</v>
      </c>
      <c r="N10" s="76" t="s">
        <v>200</v>
      </c>
      <c r="O10" s="139" t="s">
        <v>515</v>
      </c>
      <c r="P10" s="75" t="str">
        <f>VLOOKUP(CONCATENATE(IF(K10="X",1,0),IF(L10="X",2,0),IF(M10="X",3,0),IF(N10="X",4,0)),Puntuaciones!$I$15:$N$67,6,0)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0" s="73">
        <v>2</v>
      </c>
      <c r="R10" s="75">
        <f t="shared" ref="R10" si="16">COUNTIF(K10:N10,"X")</f>
        <v>4</v>
      </c>
      <c r="S10" s="81">
        <f t="shared" ref="S10" si="17">IF(K10="X",$W10/$R10,0)</f>
        <v>0.75</v>
      </c>
      <c r="T10" s="81">
        <f t="shared" ref="T10" si="18">IF(L10="X",$X10/$R10,0)</f>
        <v>0.75</v>
      </c>
      <c r="U10" s="81">
        <f t="shared" ref="U10" si="19">IF(M10="X",$Y10/$R10,0)</f>
        <v>1</v>
      </c>
      <c r="V10" s="81">
        <f t="shared" ref="V10" si="20">IF(N10="X",$Z10/$R10,0)</f>
        <v>1</v>
      </c>
      <c r="W10" s="90">
        <v>3</v>
      </c>
      <c r="X10" s="90">
        <v>3</v>
      </c>
      <c r="Y10" s="90">
        <v>4</v>
      </c>
      <c r="Z10" s="90">
        <v>4</v>
      </c>
      <c r="AA10" s="91">
        <f t="shared" si="8"/>
        <v>3.5</v>
      </c>
      <c r="AB10" s="77">
        <f t="shared" si="9"/>
        <v>7</v>
      </c>
      <c r="AC10" s="138" t="str">
        <f t="shared" si="10"/>
        <v>BAJO</v>
      </c>
    </row>
    <row r="11" spans="2:39" ht="111.75" customHeight="1" x14ac:dyDescent="0.3">
      <c r="B11" s="74"/>
      <c r="C11" s="74" t="s">
        <v>458</v>
      </c>
      <c r="D11" s="74" t="s">
        <v>526</v>
      </c>
      <c r="E11" s="74">
        <f t="shared" ref="E11" si="21">ROW(C11)-6</f>
        <v>5</v>
      </c>
      <c r="F11" s="74" t="s">
        <v>586</v>
      </c>
      <c r="G11" s="74" t="s">
        <v>447</v>
      </c>
      <c r="H11" s="92" t="str">
        <f>IFERROR(VLOOKUP($C11,Tablas1!$B$3:$C$22,2,0),"ERROR")</f>
        <v>LAFT2</v>
      </c>
      <c r="I11" s="93" t="str">
        <f>IFERROR(VLOOKUP(G11,Tablas1!$H$2:$I$14,2,0),"ERROR")</f>
        <v>FAC12</v>
      </c>
      <c r="J11" s="92" t="s">
        <v>294</v>
      </c>
      <c r="K11" s="76" t="s">
        <v>200</v>
      </c>
      <c r="L11" s="76" t="s">
        <v>200</v>
      </c>
      <c r="M11" s="76" t="s">
        <v>200</v>
      </c>
      <c r="N11" s="76" t="s">
        <v>200</v>
      </c>
      <c r="O11" s="75" t="s">
        <v>527</v>
      </c>
      <c r="P11" s="75" t="str">
        <f>VLOOKUP(CONCATENATE(IF(K11="X",1,0),IF(L11="X",2,0),IF(M11="X",3,0),IF(N11="X",4,0)),Puntuaciones!$I$15:$N$67,6,0)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1" s="73">
        <v>3</v>
      </c>
      <c r="R11" s="75">
        <f t="shared" ref="R11" si="22">COUNTIF(K11:N11,"X")</f>
        <v>4</v>
      </c>
      <c r="S11" s="81">
        <f t="shared" ref="S11" si="23">IF(K11="X",$W11/$R11,0)</f>
        <v>0.75</v>
      </c>
      <c r="T11" s="81">
        <f t="shared" ref="T11" si="24">IF(L11="X",$X11/$R11,0)</f>
        <v>0.75</v>
      </c>
      <c r="U11" s="81">
        <f t="shared" ref="U11" si="25">IF(M11="X",$Y11/$R11,0)</f>
        <v>0.25</v>
      </c>
      <c r="V11" s="81">
        <f t="shared" ref="V11" si="26">IF(N11="X",$Z11/$R11,0)</f>
        <v>0.75</v>
      </c>
      <c r="W11" s="90">
        <v>3</v>
      </c>
      <c r="X11" s="90">
        <v>3</v>
      </c>
      <c r="Y11" s="90">
        <v>1</v>
      </c>
      <c r="Z11" s="90">
        <v>3</v>
      </c>
      <c r="AA11" s="91">
        <f t="shared" si="8"/>
        <v>2.5</v>
      </c>
      <c r="AB11" s="77">
        <f t="shared" si="9"/>
        <v>7.5</v>
      </c>
      <c r="AC11" s="138" t="str">
        <f t="shared" si="10"/>
        <v>BAJO</v>
      </c>
    </row>
    <row r="12" spans="2:39" ht="102.75" customHeight="1" x14ac:dyDescent="0.3">
      <c r="B12" s="74"/>
      <c r="C12" s="74" t="s">
        <v>553</v>
      </c>
      <c r="D12" s="74" t="s">
        <v>553</v>
      </c>
      <c r="E12" s="74">
        <f t="shared" ref="E12" si="27">ROW(C12)-6</f>
        <v>6</v>
      </c>
      <c r="F12" s="74" t="s">
        <v>561</v>
      </c>
      <c r="G12" s="74" t="s">
        <v>530</v>
      </c>
      <c r="H12" s="92" t="str">
        <f>IFERROR(VLOOKUP($C12,Tablas1!$B$3:$C$22,2,0),"ERROR")</f>
        <v>LAFT16</v>
      </c>
      <c r="I12" s="93" t="str">
        <f>IFERROR(VLOOKUP(G12,Tablas1!$H$2:$I$14,2,0),"ERROR")</f>
        <v>FAC4</v>
      </c>
      <c r="J12" s="92" t="s">
        <v>572</v>
      </c>
      <c r="K12" s="76" t="s">
        <v>200</v>
      </c>
      <c r="L12" s="76" t="s">
        <v>200</v>
      </c>
      <c r="M12" s="76" t="s">
        <v>200</v>
      </c>
      <c r="N12" s="76" t="s">
        <v>200</v>
      </c>
      <c r="O12" s="75" t="s">
        <v>528</v>
      </c>
      <c r="P12" s="75" t="str">
        <f>VLOOKUP(CONCATENATE(IF(K12="X",1,0),IF(L12="X",2,0),IF(M12="X",3,0),IF(N12="X",4,0)),Puntuaciones!$I$15:$N$67,6,0)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2" s="73">
        <v>2</v>
      </c>
      <c r="R12" s="75">
        <f t="shared" ref="R12" si="28">COUNTIF(K12:N12,"X")</f>
        <v>4</v>
      </c>
      <c r="S12" s="81">
        <f t="shared" ref="S12" si="29">IF(K12="X",$W12/$R12,0)</f>
        <v>0.5</v>
      </c>
      <c r="T12" s="81">
        <f t="shared" ref="T12" si="30">IF(L12="X",$X12/$R12,0)</f>
        <v>1</v>
      </c>
      <c r="U12" s="81">
        <f t="shared" ref="U12" si="31">IF(M12="X",$Y12/$R12,0)</f>
        <v>0.5</v>
      </c>
      <c r="V12" s="81">
        <f t="shared" ref="V12" si="32">IF(N12="X",$Z12/$R12,0)</f>
        <v>0.25</v>
      </c>
      <c r="W12" s="90">
        <v>2</v>
      </c>
      <c r="X12" s="90">
        <v>4</v>
      </c>
      <c r="Y12" s="90">
        <v>2</v>
      </c>
      <c r="Z12" s="90">
        <v>1</v>
      </c>
      <c r="AA12" s="91">
        <f t="shared" si="8"/>
        <v>2.25</v>
      </c>
      <c r="AB12" s="77">
        <f t="shared" si="9"/>
        <v>4.5</v>
      </c>
      <c r="AC12" s="138" t="str">
        <f t="shared" si="10"/>
        <v>BAJO</v>
      </c>
    </row>
    <row r="13" spans="2:39" ht="107.55" customHeight="1" x14ac:dyDescent="0.3">
      <c r="B13" s="74"/>
      <c r="C13" s="74" t="s">
        <v>567</v>
      </c>
      <c r="D13" s="74" t="s">
        <v>533</v>
      </c>
      <c r="E13" s="74">
        <f t="shared" ref="E13:E16" si="33">ROW(C13)-6</f>
        <v>7</v>
      </c>
      <c r="F13" s="74" t="s">
        <v>587</v>
      </c>
      <c r="G13" s="74" t="s">
        <v>530</v>
      </c>
      <c r="H13" s="92" t="str">
        <f>IFERROR(VLOOKUP($C13,Tablas1!$B$3:$C$22,2,0),"ERROR")</f>
        <v>LAFT19</v>
      </c>
      <c r="I13" s="93" t="str">
        <f>IFERROR(VLOOKUP(G13,Tablas1!$H$2:$I$14,2,0),"ERROR")</f>
        <v>FAC4</v>
      </c>
      <c r="J13" s="92" t="s">
        <v>573</v>
      </c>
      <c r="K13" s="76" t="s">
        <v>200</v>
      </c>
      <c r="L13" s="76" t="s">
        <v>200</v>
      </c>
      <c r="M13" s="76" t="s">
        <v>200</v>
      </c>
      <c r="N13" s="76" t="s">
        <v>200</v>
      </c>
      <c r="O13" s="74" t="s">
        <v>535</v>
      </c>
      <c r="P13" s="75" t="str">
        <f>VLOOKUP(CONCATENATE(IF(K13="X",1,0),IF(L13="X",2,0),IF(M13="X",3,0),IF(N13="X",4,0)),Puntuaciones!$I$15:$N$67,6,0)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3" s="73">
        <v>1</v>
      </c>
      <c r="R13" s="75">
        <f t="shared" ref="R13" si="34">COUNTIF(K13:N13,"X")</f>
        <v>4</v>
      </c>
      <c r="S13" s="81">
        <f t="shared" ref="S13" si="35">IF(K13="X",$W13/$R13,0)</f>
        <v>1</v>
      </c>
      <c r="T13" s="81">
        <f t="shared" ref="T13" si="36">IF(L13="X",$X13/$R13,0)</f>
        <v>0.5</v>
      </c>
      <c r="U13" s="81">
        <f t="shared" ref="U13" si="37">IF(M13="X",$Y13/$R13,0)</f>
        <v>1.25</v>
      </c>
      <c r="V13" s="81">
        <f t="shared" ref="V13" si="38">IF(N13="X",$Z13/$R13,0)</f>
        <v>0.25</v>
      </c>
      <c r="W13" s="90">
        <v>4</v>
      </c>
      <c r="X13" s="90">
        <v>2</v>
      </c>
      <c r="Y13" s="90">
        <v>5</v>
      </c>
      <c r="Z13" s="90">
        <v>1</v>
      </c>
      <c r="AA13" s="91">
        <f t="shared" si="8"/>
        <v>3</v>
      </c>
      <c r="AB13" s="77">
        <f t="shared" si="9"/>
        <v>3</v>
      </c>
      <c r="AC13" s="138" t="str">
        <f t="shared" si="10"/>
        <v>BAJO</v>
      </c>
    </row>
    <row r="14" spans="2:39" ht="100.5" customHeight="1" x14ac:dyDescent="0.3">
      <c r="B14" s="74"/>
      <c r="C14" s="74" t="s">
        <v>451</v>
      </c>
      <c r="D14" s="74" t="s">
        <v>538</v>
      </c>
      <c r="E14" s="74">
        <f t="shared" si="33"/>
        <v>8</v>
      </c>
      <c r="F14" s="74" t="s">
        <v>588</v>
      </c>
      <c r="G14" s="74" t="s">
        <v>530</v>
      </c>
      <c r="H14" s="92" t="str">
        <f>IFERROR(VLOOKUP($C14,Tablas1!$B$3:$C$22,2,0),"ERROR")</f>
        <v>LAFT13</v>
      </c>
      <c r="I14" s="93" t="str">
        <f>IFERROR(VLOOKUP(G14,Tablas1!$H$2:$I$14,2,0),"ERROR")</f>
        <v>FAC4</v>
      </c>
      <c r="J14" s="92" t="s">
        <v>579</v>
      </c>
      <c r="K14" s="76"/>
      <c r="L14" s="76" t="s">
        <v>200</v>
      </c>
      <c r="M14" s="76" t="s">
        <v>200</v>
      </c>
      <c r="N14" s="76" t="s">
        <v>200</v>
      </c>
      <c r="O14" s="74" t="s">
        <v>539</v>
      </c>
      <c r="P14" s="75" t="str">
        <f>VLOOKUP(CONCATENATE(IF(K14="X",1,0),IF(L14="X",2,0),IF(M14="X",3,0),IF(N14="X",4,0)),Puntuaciones!$I$15:$N$67,6,0)</f>
        <v>Mayor exposición de la Lotería al riesgo de LA/FT/FPADM.
Deterioro de los procesos operativos.
Pérdida de reputación.
Procesos judiciales, disciplinarios y/o legales.
Sanciones del supervisor, regulador y/o entes de control.
Pérdida de mercado.</v>
      </c>
      <c r="Q14" s="73">
        <v>2</v>
      </c>
      <c r="R14" s="75">
        <f t="shared" ref="R14" si="39">COUNTIF(K14:N14,"X")</f>
        <v>3</v>
      </c>
      <c r="S14" s="81">
        <f t="shared" ref="S14" si="40">IF(K14="X",$W14/$R14,0)</f>
        <v>0</v>
      </c>
      <c r="T14" s="81">
        <f t="shared" ref="T14" si="41">IF(L14="X",$X14/$R14,0)</f>
        <v>1.3333333333333333</v>
      </c>
      <c r="U14" s="81">
        <f t="shared" ref="U14" si="42">IF(M14="X",$Y14/$R14,0)</f>
        <v>1</v>
      </c>
      <c r="V14" s="81">
        <f t="shared" ref="V14" si="43">IF(N14="X",$Z14/$R14,0)</f>
        <v>1</v>
      </c>
      <c r="W14" s="90">
        <v>1</v>
      </c>
      <c r="X14" s="90">
        <v>4</v>
      </c>
      <c r="Y14" s="90">
        <v>3</v>
      </c>
      <c r="Z14" s="90">
        <v>3</v>
      </c>
      <c r="AA14" s="91">
        <f t="shared" si="8"/>
        <v>3.333333333333333</v>
      </c>
      <c r="AB14" s="77">
        <f t="shared" si="9"/>
        <v>6.6666666666666661</v>
      </c>
      <c r="AC14" s="138" t="str">
        <f t="shared" si="10"/>
        <v>BAJO</v>
      </c>
    </row>
    <row r="15" spans="2:39" ht="105" customHeight="1" x14ac:dyDescent="0.3">
      <c r="B15" s="74"/>
      <c r="C15" s="74" t="s">
        <v>452</v>
      </c>
      <c r="D15" s="74" t="s">
        <v>452</v>
      </c>
      <c r="E15" s="74">
        <f t="shared" si="33"/>
        <v>9</v>
      </c>
      <c r="F15" s="74" t="s">
        <v>507</v>
      </c>
      <c r="G15" s="74" t="s">
        <v>243</v>
      </c>
      <c r="H15" s="92" t="str">
        <f>IFERROR(VLOOKUP($C15,Tablas1!$B$3:$C$22,2,0),"ERROR")</f>
        <v>LAFT7</v>
      </c>
      <c r="I15" s="93" t="str">
        <f>IFERROR(VLOOKUP(G15,Tablas1!$H$2:$I$14,2,0),"ERROR")</f>
        <v>FAC2</v>
      </c>
      <c r="J15" s="92" t="s">
        <v>574</v>
      </c>
      <c r="K15" s="76" t="s">
        <v>200</v>
      </c>
      <c r="L15" s="76" t="s">
        <v>200</v>
      </c>
      <c r="M15" s="76" t="s">
        <v>200</v>
      </c>
      <c r="N15" s="76" t="s">
        <v>200</v>
      </c>
      <c r="O15" s="75" t="s">
        <v>541</v>
      </c>
      <c r="P15" s="75" t="str">
        <f>VLOOKUP(CONCATENATE(IF(K15="X",1,0),IF(L15="X",2,0),IF(M15="X",3,0),IF(N15="X",4,0)),Puntuaciones!$I$15:$N$67,6,0)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5" s="73">
        <v>3</v>
      </c>
      <c r="R15" s="75">
        <f t="shared" ref="R15:R16" si="44">COUNTIF(K15:N15,"X")</f>
        <v>4</v>
      </c>
      <c r="S15" s="81">
        <f t="shared" ref="S15:S16" si="45">IF(K15="X",$W15/$R15,0)</f>
        <v>0.5</v>
      </c>
      <c r="T15" s="81">
        <f t="shared" ref="T15:T16" si="46">IF(L15="X",$X15/$R15,0)</f>
        <v>0.75</v>
      </c>
      <c r="U15" s="81">
        <f t="shared" ref="U15:U16" si="47">IF(M15="X",$Y15/$R15,0)</f>
        <v>1.25</v>
      </c>
      <c r="V15" s="81">
        <f t="shared" ref="V15:V16" si="48">IF(N15="X",$Z15/$R15,0)</f>
        <v>0.25</v>
      </c>
      <c r="W15" s="90">
        <v>2</v>
      </c>
      <c r="X15" s="90">
        <v>3</v>
      </c>
      <c r="Y15" s="90">
        <v>5</v>
      </c>
      <c r="Z15" s="90">
        <v>1</v>
      </c>
      <c r="AA15" s="91">
        <f t="shared" si="8"/>
        <v>2.75</v>
      </c>
      <c r="AB15" s="77">
        <f t="shared" si="9"/>
        <v>8.25</v>
      </c>
      <c r="AC15" s="138" t="str">
        <f t="shared" si="10"/>
        <v>MEDIO</v>
      </c>
    </row>
    <row r="16" spans="2:39" ht="107.1" customHeight="1" x14ac:dyDescent="0.3">
      <c r="B16" s="74"/>
      <c r="C16" s="74" t="s">
        <v>461</v>
      </c>
      <c r="D16" s="74" t="s">
        <v>544</v>
      </c>
      <c r="E16" s="74">
        <f t="shared" si="33"/>
        <v>10</v>
      </c>
      <c r="F16" s="74" t="s">
        <v>508</v>
      </c>
      <c r="G16" s="74" t="s">
        <v>242</v>
      </c>
      <c r="H16" s="92" t="str">
        <f>IFERROR(VLOOKUP($C16,Tablas1!$B$3:$C$22,2,0),"ERROR")</f>
        <v>LAFT12</v>
      </c>
      <c r="I16" s="93" t="str">
        <f>IFERROR(VLOOKUP(G16,Tablas1!$H$2:$I$14,2,0),"ERROR")</f>
        <v>FAC5</v>
      </c>
      <c r="J16" s="92" t="s">
        <v>571</v>
      </c>
      <c r="K16" s="76" t="s">
        <v>200</v>
      </c>
      <c r="L16" s="76" t="s">
        <v>200</v>
      </c>
      <c r="M16" s="76" t="s">
        <v>200</v>
      </c>
      <c r="N16" s="76" t="s">
        <v>200</v>
      </c>
      <c r="O16" s="74" t="s">
        <v>543</v>
      </c>
      <c r="P16" s="75" t="str">
        <f>VLOOKUP(CONCATENATE(IF(K16="X",1,0),IF(L16="X",2,0),IF(M16="X",3,0),IF(N16="X",4,0)),Puntuaciones!$I$15:$N$67,6,0)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6" s="73">
        <v>3</v>
      </c>
      <c r="R16" s="75">
        <f t="shared" si="44"/>
        <v>4</v>
      </c>
      <c r="S16" s="81">
        <f t="shared" si="45"/>
        <v>0.5</v>
      </c>
      <c r="T16" s="81">
        <f t="shared" si="46"/>
        <v>1</v>
      </c>
      <c r="U16" s="81">
        <f t="shared" si="47"/>
        <v>1</v>
      </c>
      <c r="V16" s="81">
        <f t="shared" si="48"/>
        <v>1</v>
      </c>
      <c r="W16" s="90">
        <v>2</v>
      </c>
      <c r="X16" s="90">
        <v>4</v>
      </c>
      <c r="Y16" s="90">
        <v>4</v>
      </c>
      <c r="Z16" s="90">
        <v>4</v>
      </c>
      <c r="AA16" s="91">
        <f t="shared" si="8"/>
        <v>3.5</v>
      </c>
      <c r="AB16" s="77">
        <f t="shared" si="9"/>
        <v>10.5</v>
      </c>
      <c r="AC16" s="138" t="str">
        <f t="shared" si="10"/>
        <v>MEDIO</v>
      </c>
    </row>
    <row r="17" spans="2:29" ht="110.1" customHeight="1" x14ac:dyDescent="0.3">
      <c r="B17" s="74"/>
      <c r="C17" s="74" t="s">
        <v>461</v>
      </c>
      <c r="D17" s="74" t="s">
        <v>429</v>
      </c>
      <c r="E17" s="74">
        <f t="shared" ref="E17" si="49">ROW(C17)-6</f>
        <v>11</v>
      </c>
      <c r="F17" s="74" t="s">
        <v>589</v>
      </c>
      <c r="G17" s="74" t="s">
        <v>242</v>
      </c>
      <c r="H17" s="92" t="str">
        <f>IFERROR(VLOOKUP($C17,Tablas1!$B$3:$C$22,2,0),"ERROR")</f>
        <v>LAFT12</v>
      </c>
      <c r="I17" s="93" t="str">
        <f>IFERROR(VLOOKUP(G17,Tablas1!$H$2:$I$14,2,0),"ERROR")</f>
        <v>FAC5</v>
      </c>
      <c r="J17" s="92" t="s">
        <v>575</v>
      </c>
      <c r="K17" s="76" t="s">
        <v>200</v>
      </c>
      <c r="L17" s="76" t="s">
        <v>200</v>
      </c>
      <c r="M17" s="76" t="s">
        <v>200</v>
      </c>
      <c r="N17" s="76" t="s">
        <v>200</v>
      </c>
      <c r="O17" s="74" t="s">
        <v>545</v>
      </c>
      <c r="P17" s="75" t="str">
        <f>VLOOKUP(CONCATENATE(IF(K17="X",1,0),IF(L17="X",2,0),IF(M17="X",3,0),IF(N17="X",4,0)),Puntuaciones!$I$15:$N$67,6,0)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7" s="73">
        <v>4</v>
      </c>
      <c r="R17" s="75">
        <f t="shared" ref="R17" si="50">COUNTIF(K17:N17,"X")</f>
        <v>4</v>
      </c>
      <c r="S17" s="81">
        <f t="shared" ref="S17" si="51">IF(K17="X",$W17/$R17,0)</f>
        <v>1.25</v>
      </c>
      <c r="T17" s="81">
        <f t="shared" ref="T17" si="52">IF(L17="X",$X17/$R17,0)</f>
        <v>0.5</v>
      </c>
      <c r="U17" s="81">
        <f t="shared" ref="U17" si="53">IF(M17="X",$Y17/$R17,0)</f>
        <v>1.25</v>
      </c>
      <c r="V17" s="81">
        <f t="shared" ref="V17" si="54">IF(N17="X",$Z17/$R17,0)</f>
        <v>0.5</v>
      </c>
      <c r="W17" s="90">
        <v>5</v>
      </c>
      <c r="X17" s="90">
        <v>2</v>
      </c>
      <c r="Y17" s="90">
        <v>5</v>
      </c>
      <c r="Z17" s="90">
        <v>2</v>
      </c>
      <c r="AA17" s="91">
        <f t="shared" ref="AA17" si="55">SUM(S17:V17)</f>
        <v>3.5</v>
      </c>
      <c r="AB17" s="77">
        <f t="shared" ref="AB17" si="56">Q17*AA17</f>
        <v>14</v>
      </c>
      <c r="AC17" s="138" t="str">
        <f t="shared" ref="AC17" si="57">IF(AND(AB17&gt;0,AB17&lt;8),"BAJO",IF(AND(AB17&gt;=8,AB17&lt;14),"MEDIO",IF(AND(AB17&gt;=14,AB17&lt;20),"ALTO",IF(AND(AB17&gt;=20,AB17&lt;26),"EXTREMO",""))))</f>
        <v>ALTO</v>
      </c>
    </row>
    <row r="18" spans="2:29" ht="105" customHeight="1" x14ac:dyDescent="0.3">
      <c r="B18" s="74"/>
      <c r="C18" s="74" t="s">
        <v>453</v>
      </c>
      <c r="D18" s="74" t="s">
        <v>549</v>
      </c>
      <c r="E18" s="74">
        <f t="shared" ref="E18" si="58">ROW(C18)-6</f>
        <v>12</v>
      </c>
      <c r="F18" s="74" t="s">
        <v>590</v>
      </c>
      <c r="G18" s="74" t="s">
        <v>242</v>
      </c>
      <c r="H18" s="92" t="str">
        <f>IFERROR(VLOOKUP($C18,Tablas1!$B$3:$C$22,2,0),"ERROR")</f>
        <v>LAFT5</v>
      </c>
      <c r="I18" s="93" t="str">
        <f>IFERROR(VLOOKUP(G18,Tablas1!$H$2:$I$14,2,0),"ERROR")</f>
        <v>FAC5</v>
      </c>
      <c r="J18" s="153" t="s">
        <v>570</v>
      </c>
      <c r="K18" s="76" t="s">
        <v>200</v>
      </c>
      <c r="L18" s="76" t="s">
        <v>200</v>
      </c>
      <c r="M18" s="76" t="s">
        <v>200</v>
      </c>
      <c r="N18" s="76" t="s">
        <v>200</v>
      </c>
      <c r="O18" s="139" t="s">
        <v>510</v>
      </c>
      <c r="P18" s="75" t="str">
        <f>VLOOKUP(CONCATENATE(IF(K18="X",1,0),IF(L18="X",2,0),IF(M18="X",3,0),IF(N18="X",4,0)),Puntuaciones!$I$15:$N$67,6,0)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8" s="73">
        <v>4</v>
      </c>
      <c r="R18" s="75">
        <f t="shared" ref="R18" si="59">COUNTIF(K18:N18,"X")</f>
        <v>4</v>
      </c>
      <c r="S18" s="81">
        <f t="shared" ref="S18" si="60">IF(K18="X",$W18/$R18,0)</f>
        <v>1</v>
      </c>
      <c r="T18" s="81">
        <f t="shared" ref="T18" si="61">IF(L18="X",$X18/$R18,0)</f>
        <v>1.25</v>
      </c>
      <c r="U18" s="81">
        <f t="shared" ref="U18" si="62">IF(M18="X",$Y18/$R18,0)</f>
        <v>1.25</v>
      </c>
      <c r="V18" s="81">
        <f t="shared" ref="V18" si="63">IF(N18="X",$Z18/$R18,0)</f>
        <v>1.25</v>
      </c>
      <c r="W18" s="90">
        <v>4</v>
      </c>
      <c r="X18" s="90">
        <v>5</v>
      </c>
      <c r="Y18" s="90">
        <v>5</v>
      </c>
      <c r="Z18" s="90">
        <v>5</v>
      </c>
      <c r="AA18" s="91">
        <f t="shared" ref="AA18" si="64">SUM(S18:V18)</f>
        <v>4.75</v>
      </c>
      <c r="AB18" s="77">
        <f t="shared" ref="AB18" si="65">Q18*AA18</f>
        <v>19</v>
      </c>
      <c r="AC18" s="138" t="str">
        <f t="shared" ref="AC18" si="66">IF(AND(AB18&gt;0,AB18&lt;8),"BAJO",IF(AND(AB18&gt;=8,AB18&lt;14),"MEDIO",IF(AND(AB18&gt;=14,AB18&lt;20),"ALTO",IF(AND(AB18&gt;=20,AB18&lt;26),"EXTREMO",""))))</f>
        <v>ALTO</v>
      </c>
    </row>
    <row r="19" spans="2:29" ht="98.25" customHeight="1" x14ac:dyDescent="0.3">
      <c r="B19" s="74"/>
      <c r="C19" s="74" t="s">
        <v>553</v>
      </c>
      <c r="D19" s="74" t="s">
        <v>554</v>
      </c>
      <c r="E19" s="74">
        <f t="shared" ref="E19:E20" si="67">ROW(C19)-6</f>
        <v>13</v>
      </c>
      <c r="F19" s="74" t="s">
        <v>591</v>
      </c>
      <c r="G19" s="74" t="s">
        <v>563</v>
      </c>
      <c r="H19" s="92" t="str">
        <f>IFERROR(VLOOKUP($C19,Tablas1!$B$3:$C$22,2,0),"ERROR")</f>
        <v>LAFT16</v>
      </c>
      <c r="I19" s="93" t="str">
        <f>IFERROR(VLOOKUP(G19,Tablas1!$H$2:$I$14,2,0),"ERROR")</f>
        <v>FAC6</v>
      </c>
      <c r="J19" s="92" t="s">
        <v>569</v>
      </c>
      <c r="K19" s="76" t="s">
        <v>200</v>
      </c>
      <c r="L19" s="76" t="s">
        <v>200</v>
      </c>
      <c r="M19" s="76" t="s">
        <v>200</v>
      </c>
      <c r="N19" s="76" t="s">
        <v>200</v>
      </c>
      <c r="O19" s="74" t="s">
        <v>535</v>
      </c>
      <c r="P19" s="75" t="str">
        <f>VLOOKUP(CONCATENATE(IF(K19="X",1,0),IF(L19="X",2,0),IF(M19="X",3,0),IF(N19="X",4,0)),Puntuaciones!$I$15:$N$67,6,0)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19" s="73">
        <v>1</v>
      </c>
      <c r="R19" s="75">
        <f t="shared" ref="R19" si="68">COUNTIF(K19:N19,"X")</f>
        <v>4</v>
      </c>
      <c r="S19" s="81">
        <f t="shared" ref="S19" si="69">IF(K19="X",$W19/$R19,0)</f>
        <v>1</v>
      </c>
      <c r="T19" s="81">
        <f t="shared" ref="T19" si="70">IF(L19="X",$X19/$R19,0)</f>
        <v>0.5</v>
      </c>
      <c r="U19" s="81">
        <f t="shared" ref="U19" si="71">IF(M19="X",$Y19/$R19,0)</f>
        <v>1.25</v>
      </c>
      <c r="V19" s="81">
        <f t="shared" ref="V19" si="72">IF(N19="X",$Z19/$R19,0)</f>
        <v>0.25</v>
      </c>
      <c r="W19" s="90">
        <v>4</v>
      </c>
      <c r="X19" s="90">
        <v>2</v>
      </c>
      <c r="Y19" s="90">
        <v>5</v>
      </c>
      <c r="Z19" s="90">
        <v>1</v>
      </c>
      <c r="AA19" s="91">
        <f t="shared" ref="AA19:AA20" si="73">SUM(S19:V19)</f>
        <v>3</v>
      </c>
      <c r="AB19" s="77">
        <f t="shared" ref="AB19:AB20" si="74">Q19*AA19</f>
        <v>3</v>
      </c>
      <c r="AC19" s="138" t="str">
        <f t="shared" ref="AC19:AC20" si="75">IF(AND(AB19&gt;0,AB19&lt;8),"BAJO",IF(AND(AB19&gt;=8,AB19&lt;14),"MEDIO",IF(AND(AB19&gt;=14,AB19&lt;20),"ALTO",IF(AND(AB19&gt;=20,AB19&lt;26),"EXTREMO",""))))</f>
        <v>BAJO</v>
      </c>
    </row>
    <row r="20" spans="2:29" ht="105.6" customHeight="1" x14ac:dyDescent="0.3">
      <c r="B20" s="74"/>
      <c r="C20" s="74" t="s">
        <v>559</v>
      </c>
      <c r="D20" s="74" t="s">
        <v>554</v>
      </c>
      <c r="E20" s="74">
        <f t="shared" si="67"/>
        <v>14</v>
      </c>
      <c r="F20" s="74" t="s">
        <v>592</v>
      </c>
      <c r="G20" s="74" t="s">
        <v>563</v>
      </c>
      <c r="H20" s="92" t="str">
        <f>IFERROR(VLOOKUP($C20,Tablas1!$B$3:$C$22,2,0),"ERROR")</f>
        <v>LAFT18</v>
      </c>
      <c r="I20" s="93" t="str">
        <f>IFERROR(VLOOKUP(G20,Tablas1!$H$2:$I$14,2,0),"ERROR")</f>
        <v>FAC6</v>
      </c>
      <c r="J20" s="92" t="s">
        <v>568</v>
      </c>
      <c r="K20" s="76" t="s">
        <v>200</v>
      </c>
      <c r="L20" s="76" t="s">
        <v>200</v>
      </c>
      <c r="M20" s="76" t="s">
        <v>200</v>
      </c>
      <c r="N20" s="76" t="s">
        <v>200</v>
      </c>
      <c r="O20" s="75" t="s">
        <v>548</v>
      </c>
      <c r="P20" s="75" t="str">
        <f>VLOOKUP(CONCATENATE(IF(K20="X",1,0),IF(L20="X",2,0),IF(M20="X",3,0),IF(N20="X",4,0)),Puntuaciones!$I$15:$N$67,6,0)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20" s="73">
        <v>5</v>
      </c>
      <c r="R20" s="75">
        <f t="shared" ref="R20" si="76">COUNTIF(K20:N20,"X")</f>
        <v>4</v>
      </c>
      <c r="S20" s="81">
        <f t="shared" ref="S20" si="77">IF(K20="X",$W20/$R20,0)</f>
        <v>1.25</v>
      </c>
      <c r="T20" s="81">
        <f t="shared" ref="T20" si="78">IF(L20="X",$X20/$R20,0)</f>
        <v>1.25</v>
      </c>
      <c r="U20" s="81">
        <f t="shared" ref="U20" si="79">IF(M20="X",$Y20/$R20,0)</f>
        <v>1</v>
      </c>
      <c r="V20" s="81">
        <f t="shared" ref="V20" si="80">IF(N20="X",$Z20/$R20,0)</f>
        <v>1</v>
      </c>
      <c r="W20" s="90">
        <v>5</v>
      </c>
      <c r="X20" s="90">
        <v>5</v>
      </c>
      <c r="Y20" s="90">
        <v>4</v>
      </c>
      <c r="Z20" s="90">
        <v>4</v>
      </c>
      <c r="AA20" s="91">
        <f t="shared" si="73"/>
        <v>4.5</v>
      </c>
      <c r="AB20" s="77">
        <f t="shared" si="74"/>
        <v>22.5</v>
      </c>
      <c r="AC20" s="138" t="str">
        <f t="shared" si="75"/>
        <v>EXTREMO</v>
      </c>
    </row>
    <row r="21" spans="2:29" ht="105.6" customHeight="1" x14ac:dyDescent="0.3">
      <c r="B21" s="74"/>
      <c r="C21" s="74" t="s">
        <v>559</v>
      </c>
      <c r="D21" s="74" t="s">
        <v>554</v>
      </c>
      <c r="E21" s="74">
        <f t="shared" ref="E21" si="81">ROW(C21)-6</f>
        <v>15</v>
      </c>
      <c r="F21" s="74" t="s">
        <v>635</v>
      </c>
      <c r="G21" s="74" t="s">
        <v>563</v>
      </c>
      <c r="H21" s="92" t="str">
        <f>IFERROR(VLOOKUP($C21,Tablas1!$B$3:$C$22,2,0),"ERROR")</f>
        <v>LAFT18</v>
      </c>
      <c r="I21" s="93" t="str">
        <f>IFERROR(VLOOKUP(G21,Tablas1!$H$2:$I$14,2,0),"ERROR")</f>
        <v>FAC6</v>
      </c>
      <c r="J21" s="92" t="s">
        <v>632</v>
      </c>
      <c r="K21" s="76" t="s">
        <v>200</v>
      </c>
      <c r="L21" s="76" t="s">
        <v>200</v>
      </c>
      <c r="M21" s="76" t="s">
        <v>200</v>
      </c>
      <c r="N21" s="76" t="s">
        <v>200</v>
      </c>
      <c r="O21" s="75" t="s">
        <v>548</v>
      </c>
      <c r="P21" s="75" t="str">
        <f>VLOOKUP(CONCATENATE(IF(K21="X",1,0),IF(L21="X",2,0),IF(M21="X",3,0),IF(N21="X",4,0)),Puntuaciones!$I$15:$N$67,6,0)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Q21" s="73">
        <v>3</v>
      </c>
      <c r="R21" s="75">
        <f t="shared" ref="R21" si="82">COUNTIF(K21:N21,"X")</f>
        <v>4</v>
      </c>
      <c r="S21" s="81">
        <f t="shared" ref="S21" si="83">IF(K21="X",$W21/$R21,0)</f>
        <v>0.5</v>
      </c>
      <c r="T21" s="81">
        <f t="shared" ref="T21" si="84">IF(L21="X",$X21/$R21,0)</f>
        <v>1.25</v>
      </c>
      <c r="U21" s="81">
        <f t="shared" ref="U21" si="85">IF(M21="X",$Y21/$R21,0)</f>
        <v>0.5</v>
      </c>
      <c r="V21" s="81">
        <f t="shared" ref="V21" si="86">IF(N21="X",$Z21/$R21,0)</f>
        <v>1.25</v>
      </c>
      <c r="W21" s="90">
        <v>2</v>
      </c>
      <c r="X21" s="90">
        <v>5</v>
      </c>
      <c r="Y21" s="90">
        <v>2</v>
      </c>
      <c r="Z21" s="90">
        <v>5</v>
      </c>
      <c r="AA21" s="91">
        <f t="shared" ref="AA21" si="87">SUM(S21:V21)</f>
        <v>3.5</v>
      </c>
      <c r="AB21" s="77">
        <f t="shared" ref="AB21" si="88">Q21*AA21</f>
        <v>10.5</v>
      </c>
      <c r="AC21" s="138" t="str">
        <f t="shared" ref="AC21" si="89">IF(AND(AB21&gt;0,AB21&lt;8),"BAJO",IF(AND(AB21&gt;=8,AB21&lt;14),"MEDIO",IF(AND(AB21&gt;=14,AB21&lt;20),"ALTO",IF(AND(AB21&gt;=20,AB21&lt;26),"EXTREMO",""))))</f>
        <v>MEDIO</v>
      </c>
    </row>
  </sheetData>
  <dataConsolidate/>
  <mergeCells count="24">
    <mergeCell ref="B5:B6"/>
    <mergeCell ref="B4:J4"/>
    <mergeCell ref="AA5:AA6"/>
    <mergeCell ref="S5:V5"/>
    <mergeCell ref="B3:AC3"/>
    <mergeCell ref="AB5:AB6"/>
    <mergeCell ref="R5:R6"/>
    <mergeCell ref="W5:Z5"/>
    <mergeCell ref="K4:P4"/>
    <mergeCell ref="K5:N5"/>
    <mergeCell ref="E5:E6"/>
    <mergeCell ref="G5:G6"/>
    <mergeCell ref="J5:J6"/>
    <mergeCell ref="AC5:AC6"/>
    <mergeCell ref="I5:I6"/>
    <mergeCell ref="D5:D6"/>
    <mergeCell ref="D2:AC2"/>
    <mergeCell ref="O5:O6"/>
    <mergeCell ref="C5:C6"/>
    <mergeCell ref="H5:H6"/>
    <mergeCell ref="P5:P6"/>
    <mergeCell ref="Q5:Q6"/>
    <mergeCell ref="Q4:AC4"/>
    <mergeCell ref="F5:F6"/>
  </mergeCells>
  <phoneticPr fontId="27" type="noConversion"/>
  <conditionalFormatting sqref="AC18:AC20 AC7:AC16">
    <cfRule type="cellIs" dxfId="206" priority="1395" operator="equal">
      <formula>"BAJO"</formula>
    </cfRule>
    <cfRule type="cellIs" dxfId="205" priority="1396" operator="equal">
      <formula>"MEDIO"</formula>
    </cfRule>
    <cfRule type="cellIs" dxfId="204" priority="1397" operator="equal">
      <formula>"EXTREMO"</formula>
    </cfRule>
    <cfRule type="cellIs" dxfId="203" priority="1398" operator="equal">
      <formula>"ALTO"</formula>
    </cfRule>
  </conditionalFormatting>
  <conditionalFormatting sqref="AC18:AC20 AC5:AC16">
    <cfRule type="cellIs" dxfId="202" priority="946" operator="equal">
      <formula>"BAJO"</formula>
    </cfRule>
    <cfRule type="cellIs" dxfId="201" priority="947" operator="equal">
      <formula>"MEDIO"</formula>
    </cfRule>
    <cfRule type="cellIs" dxfId="200" priority="948" operator="equal">
      <formula>"EXTREMO"</formula>
    </cfRule>
    <cfRule type="cellIs" dxfId="199" priority="949" operator="equal">
      <formula>"ALTO"</formula>
    </cfRule>
  </conditionalFormatting>
  <conditionalFormatting sqref="E9:E10">
    <cfRule type="duplicateValues" dxfId="198" priority="158"/>
  </conditionalFormatting>
  <conditionalFormatting sqref="AC17">
    <cfRule type="cellIs" dxfId="197" priority="13" operator="equal">
      <formula>"BAJO"</formula>
    </cfRule>
    <cfRule type="cellIs" dxfId="196" priority="14" operator="equal">
      <formula>"MEDIO"</formula>
    </cfRule>
    <cfRule type="cellIs" dxfId="195" priority="15" operator="equal">
      <formula>"EXTREMO"</formula>
    </cfRule>
    <cfRule type="cellIs" dxfId="194" priority="16" operator="equal">
      <formula>"ALTO"</formula>
    </cfRule>
  </conditionalFormatting>
  <conditionalFormatting sqref="AC17">
    <cfRule type="cellIs" dxfId="193" priority="9" operator="equal">
      <formula>"BAJO"</formula>
    </cfRule>
    <cfRule type="cellIs" dxfId="192" priority="10" operator="equal">
      <formula>"MEDIO"</formula>
    </cfRule>
    <cfRule type="cellIs" dxfId="191" priority="11" operator="equal">
      <formula>"EXTREMO"</formula>
    </cfRule>
    <cfRule type="cellIs" dxfId="190" priority="12" operator="equal">
      <formula>"ALTO"</formula>
    </cfRule>
  </conditionalFormatting>
  <conditionalFormatting sqref="AC21">
    <cfRule type="cellIs" dxfId="189" priority="5" operator="equal">
      <formula>"BAJO"</formula>
    </cfRule>
    <cfRule type="cellIs" dxfId="188" priority="6" operator="equal">
      <formula>"MEDIO"</formula>
    </cfRule>
    <cfRule type="cellIs" dxfId="187" priority="7" operator="equal">
      <formula>"EXTREMO"</formula>
    </cfRule>
    <cfRule type="cellIs" dxfId="186" priority="8" operator="equal">
      <formula>"ALTO"</formula>
    </cfRule>
  </conditionalFormatting>
  <conditionalFormatting sqref="AC21">
    <cfRule type="cellIs" dxfId="185" priority="1" operator="equal">
      <formula>"BAJO"</formula>
    </cfRule>
    <cfRule type="cellIs" dxfId="184" priority="2" operator="equal">
      <formula>"MEDIO"</formula>
    </cfRule>
    <cfRule type="cellIs" dxfId="183" priority="3" operator="equal">
      <formula>"EXTREMO"</formula>
    </cfRule>
    <cfRule type="cellIs" dxfId="182" priority="4" operator="equal">
      <formula>"ALTO"</formula>
    </cfRule>
  </conditionalFormatting>
  <dataValidations xWindow="1060" yWindow="328" count="8">
    <dataValidation type="list" allowBlank="1" showInputMessage="1" showErrorMessage="1" sqref="AB22:AC1048576 Q7:Q21">
      <formula1>"1,2,3,4,5"</formula1>
    </dataValidation>
    <dataValidation type="list" allowBlank="1" showInputMessage="1" showErrorMessage="1" sqref="D22:D1048576">
      <formula1>$E$3:$E$6</formula1>
    </dataValidation>
    <dataValidation type="list" allowBlank="1" showInputMessage="1" showErrorMessage="1" sqref="C22:C1048576">
      <formula1>$C$3:$C$6</formula1>
    </dataValidation>
    <dataValidation type="list" operator="greaterThanOrEqual" allowBlank="1" showInputMessage="1" showErrorMessage="1" sqref="W22:AA1048576">
      <formula1>"0,1,2,3,4,5"</formula1>
    </dataValidation>
    <dataValidation type="list" operator="greaterThanOrEqual" allowBlank="1" showInputMessage="1" showErrorMessage="1" sqref="W7:Z21">
      <formula1>"1,2,3,4,5"</formula1>
    </dataValidation>
    <dataValidation type="list" allowBlank="1" showInputMessage="1" showErrorMessage="1" sqref="K7:N21">
      <formula1>"X"</formula1>
    </dataValidation>
    <dataValidation operator="greaterThanOrEqual" allowBlank="1" showInputMessage="1" showErrorMessage="1" sqref="AA7:AA21"/>
    <dataValidation type="list" allowBlank="1" showInputMessage="1" showErrorMessage="1" sqref="B7:B21">
      <formula1>"Alto,Medio,Bajo"</formula1>
    </dataValidation>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xWindow="1060" yWindow="328" count="6">
        <x14:dataValidation type="list" allowBlank="1" showInputMessage="1" showErrorMessage="1">
          <x14:formula1>
            <xm:f>Tablas1!$I$3:$I$12</xm:f>
          </x14:formula1>
          <xm:sqref>I22:I1048576</xm:sqref>
        </x14:dataValidation>
        <x14:dataValidation type="list" allowBlank="1" showInputMessage="1" showErrorMessage="1">
          <x14:formula1>
            <xm:f>Tablas1!$C$3:$C$22</xm:f>
          </x14:formula1>
          <xm:sqref>H22:H1048576</xm:sqref>
        </x14:dataValidation>
        <x14:dataValidation type="list" allowBlank="1" showInputMessage="1" showErrorMessage="1">
          <x14:formula1>
            <xm:f>Tablas1!$E$3:$E$27</xm:f>
          </x14:formula1>
          <xm:sqref>D7:D21</xm:sqref>
        </x14:dataValidation>
        <x14:dataValidation type="custom" allowBlank="1" showInputMessage="1" showErrorMessage="1">
          <x14:formula1>
            <xm:f>IFERROR(VLOOKUP(#REF!,Tablas1!$H$2:$I$12,2,0),"ERROR")</xm:f>
          </x14:formula1>
          <xm:sqref>I7:I21</xm:sqref>
        </x14:dataValidation>
        <x14:dataValidation type="list" allowBlank="1" showInputMessage="1" showErrorMessage="1">
          <x14:formula1>
            <xm:f>Tablas1!$H$3:$H$12</xm:f>
          </x14:formula1>
          <xm:sqref>G7:G1048576</xm:sqref>
        </x14:dataValidation>
        <x14:dataValidation type="list" allowBlank="1" showInputMessage="1" showErrorMessage="1">
          <x14:formula1>
            <xm:f>Tablas1!$B$3:$B$22</xm:f>
          </x14:formula1>
          <xm:sqref>C7:C21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rgb="FF00B0F0"/>
  </sheetPr>
  <dimension ref="B1:AH89"/>
  <sheetViews>
    <sheetView zoomScale="85" zoomScaleNormal="85" zoomScalePageLayoutView="32" workbookViewId="0">
      <selection activeCell="I2" sqref="I2"/>
    </sheetView>
  </sheetViews>
  <sheetFormatPr baseColWidth="10" defaultColWidth="11.21875" defaultRowHeight="13.8" x14ac:dyDescent="0.3"/>
  <cols>
    <col min="1" max="1" width="2.21875" style="3" customWidth="1"/>
    <col min="2" max="2" width="14" style="3" customWidth="1"/>
    <col min="3" max="3" width="20.5546875" style="6" customWidth="1"/>
    <col min="4" max="4" width="22.21875" style="6" customWidth="1"/>
    <col min="5" max="7" width="17.21875" style="6" customWidth="1"/>
    <col min="8" max="8" width="14.77734375" style="6" customWidth="1"/>
    <col min="9" max="9" width="44" style="3" customWidth="1"/>
    <col min="10" max="13" width="4.77734375" style="2" customWidth="1"/>
    <col min="14" max="15" width="33.77734375" style="3" customWidth="1"/>
    <col min="16" max="16" width="5.77734375" style="3" customWidth="1"/>
    <col min="17" max="21" width="6.77734375" style="3" customWidth="1"/>
    <col min="22" max="22" width="8.21875" style="4" customWidth="1"/>
    <col min="23" max="23" width="16" style="4" customWidth="1"/>
    <col min="24" max="24" width="16.21875" style="4" customWidth="1"/>
    <col min="25" max="25" width="17.5546875" style="21" customWidth="1"/>
    <col min="26" max="26" width="26.77734375" style="21" customWidth="1"/>
    <col min="27" max="27" width="17.77734375" style="21" customWidth="1"/>
    <col min="28" max="28" width="38.77734375" style="23" customWidth="1"/>
    <col min="29" max="29" width="9" style="23" customWidth="1"/>
    <col min="30" max="30" width="27.77734375" style="21" bestFit="1" customWidth="1"/>
    <col min="31" max="31" width="17.21875" style="21" customWidth="1"/>
    <col min="32" max="32" width="18.21875" style="21" bestFit="1" customWidth="1"/>
    <col min="33" max="33" width="11.21875" style="21"/>
    <col min="34" max="34" width="27.77734375" style="3" bestFit="1" customWidth="1"/>
    <col min="35" max="36" width="15.21875" style="3" customWidth="1"/>
    <col min="37" max="16384" width="11.21875" style="3"/>
  </cols>
  <sheetData>
    <row r="1" spans="2:34" ht="43.5" customHeight="1" x14ac:dyDescent="0.3">
      <c r="B1" s="124" t="s">
        <v>238</v>
      </c>
      <c r="C1" s="124" t="s">
        <v>239</v>
      </c>
      <c r="D1" s="124" t="s">
        <v>48</v>
      </c>
      <c r="E1" s="124" t="s">
        <v>81</v>
      </c>
      <c r="F1" s="124" t="s">
        <v>7</v>
      </c>
      <c r="G1" s="124" t="s">
        <v>13</v>
      </c>
      <c r="H1" s="124" t="s">
        <v>168</v>
      </c>
      <c r="I1" s="124" t="s">
        <v>192</v>
      </c>
      <c r="J1" s="94" t="s">
        <v>47</v>
      </c>
      <c r="K1" s="94" t="s">
        <v>44</v>
      </c>
      <c r="L1" s="94" t="s">
        <v>46</v>
      </c>
      <c r="M1" s="94" t="s">
        <v>45</v>
      </c>
      <c r="N1" s="124" t="s">
        <v>0</v>
      </c>
      <c r="O1" s="124" t="s">
        <v>23</v>
      </c>
      <c r="P1" s="125" t="s">
        <v>21</v>
      </c>
      <c r="Q1" s="94" t="s">
        <v>47</v>
      </c>
      <c r="R1" s="94" t="s">
        <v>44</v>
      </c>
      <c r="S1" s="94" t="s">
        <v>46</v>
      </c>
      <c r="T1" s="94" t="s">
        <v>45</v>
      </c>
      <c r="U1" s="125" t="s">
        <v>85</v>
      </c>
      <c r="V1" s="125" t="s">
        <v>255</v>
      </c>
      <c r="W1" s="124" t="s">
        <v>43</v>
      </c>
      <c r="X1" s="124" t="s">
        <v>42</v>
      </c>
      <c r="AG1" s="30"/>
      <c r="AH1" s="21"/>
    </row>
    <row r="2" spans="2:34" ht="111.75" customHeight="1" x14ac:dyDescent="0.3">
      <c r="B2" s="74"/>
      <c r="C2" s="74" t="s">
        <v>52</v>
      </c>
      <c r="D2" s="74" t="s">
        <v>52</v>
      </c>
      <c r="E2" s="74">
        <f t="shared" ref="E2:E16" si="0">ROW(C2)-6</f>
        <v>-4</v>
      </c>
      <c r="F2" s="74" t="s">
        <v>242</v>
      </c>
      <c r="G2" s="92" t="str">
        <f>IFERROR(VLOOKUP($C2,Tablas1!$B$3:$C$22,2,0),"ERROR")</f>
        <v>ERROR</v>
      </c>
      <c r="H2" s="93" t="str">
        <f>IFERROR(VLOOKUP(F2,Tablas1!$H$2:$I$14,2,0),"ERROR")</f>
        <v>FAC5</v>
      </c>
      <c r="I2" s="75" t="s">
        <v>281</v>
      </c>
      <c r="J2" s="76" t="s">
        <v>200</v>
      </c>
      <c r="K2" s="76" t="s">
        <v>200</v>
      </c>
      <c r="L2" s="76" t="s">
        <v>200</v>
      </c>
      <c r="M2" s="76" t="s">
        <v>200</v>
      </c>
      <c r="N2" s="75" t="s">
        <v>282</v>
      </c>
      <c r="O2" s="75" t="str">
        <f>VLOOKUP(CONCATENATE(IF(J2="X",1,0),IF(K2="X",2,0),IF(L2="X",3,0),IF(M2="X",4,0)),Puntuaciones!$I$15:$N$67,6,0)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 s="73"/>
      <c r="Q2" s="90"/>
      <c r="R2" s="90"/>
      <c r="S2" s="90"/>
      <c r="T2" s="90"/>
      <c r="U2" s="91"/>
      <c r="V2" s="77"/>
      <c r="W2" s="78" t="str">
        <f t="shared" ref="W2:W54" si="1">IF(AND(V2&gt;0,V2&lt;8),"BAJO",IF(AND(V2&gt;=8,V2&lt;14),"MEDIO",IF(AND(V2&gt;=14,V2&lt;20),"ALTO",IF(AND(V2&gt;=20,V2&lt;26),"EXTREMO",""))))</f>
        <v/>
      </c>
      <c r="X2" s="79" t="str">
        <f t="shared" ref="X2:X22" si="2">IFERROR(VLOOKUP(W2,RIEGO,2,FALSE),"")</f>
        <v/>
      </c>
    </row>
    <row r="3" spans="2:34" ht="111.75" customHeight="1" x14ac:dyDescent="0.3">
      <c r="B3" s="74"/>
      <c r="C3" s="74" t="s">
        <v>52</v>
      </c>
      <c r="D3" s="74" t="s">
        <v>52</v>
      </c>
      <c r="E3" s="74">
        <f t="shared" si="0"/>
        <v>-3</v>
      </c>
      <c r="F3" s="74" t="s">
        <v>240</v>
      </c>
      <c r="G3" s="92" t="str">
        <f>IFERROR(VLOOKUP($C3,Tablas1!$B$3:$C$22,2,0),"ERROR")</f>
        <v>ERROR</v>
      </c>
      <c r="H3" s="93" t="str">
        <f>IFERROR(VLOOKUP(F3,Tablas1!$H$2:$I$14,2,0),"ERROR")</f>
        <v>ERROR</v>
      </c>
      <c r="I3" s="75" t="s">
        <v>281</v>
      </c>
      <c r="J3" s="76"/>
      <c r="K3" s="76" t="s">
        <v>200</v>
      </c>
      <c r="L3" s="76" t="s">
        <v>200</v>
      </c>
      <c r="M3" s="76" t="s">
        <v>200</v>
      </c>
      <c r="N3" s="75" t="s">
        <v>282</v>
      </c>
      <c r="O3" s="75" t="str">
        <f>VLOOKUP(CONCATENATE(IF(J3="X",1,0),IF(K3="X",2,0),IF(L3="X",3,0),IF(M3="X",4,0)),Puntuaciones!$I$15:$N$67,6,0)</f>
        <v>Mayor exposición de la Lotería al riesgo de LA/FT/FPADM.
Deterioro de los procesos operativos.
Pérdida de reputación.
Procesos judiciales, disciplinarios y/o legales.
Sanciones del supervisor, regulador y/o entes de control.
Pérdida de mercado.</v>
      </c>
      <c r="P3" s="73"/>
      <c r="Q3" s="90"/>
      <c r="R3" s="90"/>
      <c r="S3" s="90"/>
      <c r="T3" s="90"/>
      <c r="U3" s="91"/>
      <c r="V3" s="77"/>
      <c r="W3" s="78" t="str">
        <f t="shared" si="1"/>
        <v/>
      </c>
      <c r="X3" s="79" t="str">
        <f t="shared" si="2"/>
        <v/>
      </c>
    </row>
    <row r="4" spans="2:34" ht="111.75" customHeight="1" x14ac:dyDescent="0.3">
      <c r="B4" s="74"/>
      <c r="C4" s="74" t="s">
        <v>52</v>
      </c>
      <c r="D4" s="74" t="s">
        <v>52</v>
      </c>
      <c r="E4" s="74">
        <f t="shared" si="0"/>
        <v>-2</v>
      </c>
      <c r="F4" s="74" t="s">
        <v>284</v>
      </c>
      <c r="G4" s="92" t="str">
        <f>IFERROR(VLOOKUP($C4,Tablas1!$B$3:$C$22,2,0),"ERROR")</f>
        <v>ERROR</v>
      </c>
      <c r="H4" s="93" t="str">
        <f>IFERROR(VLOOKUP(F4,Tablas1!$H$2:$I$14,2,0),"ERROR")</f>
        <v>ERROR</v>
      </c>
      <c r="I4" s="75" t="s">
        <v>281</v>
      </c>
      <c r="J4" s="76"/>
      <c r="K4" s="76" t="s">
        <v>200</v>
      </c>
      <c r="L4" s="76" t="s">
        <v>200</v>
      </c>
      <c r="M4" s="76" t="s">
        <v>200</v>
      </c>
      <c r="N4" s="75" t="s">
        <v>282</v>
      </c>
      <c r="O4" s="75" t="str">
        <f>VLOOKUP(CONCATENATE(IF(J4="X",1,0),IF(K4="X",2,0),IF(L4="X",3,0),IF(M4="X",4,0)),Puntuaciones!$I$15:$N$67,6,0)</f>
        <v>Mayor exposición de la Lotería al riesgo de LA/FT/FPADM.
Deterioro de los procesos operativos.
Pérdida de reputación.
Procesos judiciales, disciplinarios y/o legales.
Sanciones del supervisor, regulador y/o entes de control.
Pérdida de mercado.</v>
      </c>
      <c r="P4" s="73"/>
      <c r="Q4" s="90"/>
      <c r="R4" s="90"/>
      <c r="S4" s="90"/>
      <c r="T4" s="90"/>
      <c r="U4" s="91"/>
      <c r="V4" s="77"/>
      <c r="W4" s="78" t="str">
        <f t="shared" si="1"/>
        <v/>
      </c>
      <c r="X4" s="79" t="str">
        <f t="shared" si="2"/>
        <v/>
      </c>
    </row>
    <row r="5" spans="2:34" ht="111.75" customHeight="1" x14ac:dyDescent="0.3">
      <c r="B5" s="74"/>
      <c r="C5" s="74" t="s">
        <v>52</v>
      </c>
      <c r="D5" s="74" t="s">
        <v>52</v>
      </c>
      <c r="E5" s="74">
        <f t="shared" si="0"/>
        <v>-1</v>
      </c>
      <c r="F5" s="74" t="s">
        <v>241</v>
      </c>
      <c r="G5" s="92" t="str">
        <f>IFERROR(VLOOKUP($C5,Tablas1!$B$3:$C$22,2,0),"ERROR")</f>
        <v>ERROR</v>
      </c>
      <c r="H5" s="93" t="str">
        <f>IFERROR(VLOOKUP(F5,Tablas1!$H$2:$I$14,2,0),"ERROR")</f>
        <v>ERROR</v>
      </c>
      <c r="I5" s="75" t="s">
        <v>281</v>
      </c>
      <c r="J5" s="76"/>
      <c r="K5" s="76" t="s">
        <v>200</v>
      </c>
      <c r="L5" s="76" t="s">
        <v>200</v>
      </c>
      <c r="M5" s="76" t="s">
        <v>200</v>
      </c>
      <c r="N5" s="75" t="s">
        <v>282</v>
      </c>
      <c r="O5" s="75" t="str">
        <f>VLOOKUP(CONCATENATE(IF(J5="X",1,0),IF(K5="X",2,0),IF(L5="X",3,0),IF(M5="X",4,0)),Puntuaciones!$I$15:$N$67,6,0)</f>
        <v>Mayor exposición de la Lotería al riesgo de LA/FT/FPADM.
Deterioro de los procesos operativos.
Pérdida de reputación.
Procesos judiciales, disciplinarios y/o legales.
Sanciones del supervisor, regulador y/o entes de control.
Pérdida de mercado.</v>
      </c>
      <c r="P5" s="73"/>
      <c r="Q5" s="90"/>
      <c r="R5" s="90"/>
      <c r="S5" s="90"/>
      <c r="T5" s="90"/>
      <c r="U5" s="91"/>
      <c r="V5" s="77"/>
      <c r="W5" s="78" t="str">
        <f t="shared" si="1"/>
        <v/>
      </c>
      <c r="X5" s="79" t="str">
        <f t="shared" si="2"/>
        <v/>
      </c>
    </row>
    <row r="6" spans="2:34" ht="111.75" customHeight="1" x14ac:dyDescent="0.3">
      <c r="B6" s="74"/>
      <c r="C6" s="74" t="s">
        <v>52</v>
      </c>
      <c r="D6" s="74" t="s">
        <v>258</v>
      </c>
      <c r="E6" s="74">
        <f t="shared" si="0"/>
        <v>0</v>
      </c>
      <c r="F6" s="74" t="s">
        <v>240</v>
      </c>
      <c r="G6" s="92" t="str">
        <f>IFERROR(VLOOKUP($C6,Tablas1!$B$3:$C$22,2,0),"ERROR")</f>
        <v>ERROR</v>
      </c>
      <c r="H6" s="93" t="str">
        <f>IFERROR(VLOOKUP(F6,Tablas1!$H$2:$I$14,2,0),"ERROR")</f>
        <v>ERROR</v>
      </c>
      <c r="I6" s="75" t="s">
        <v>321</v>
      </c>
      <c r="J6" s="76" t="s">
        <v>200</v>
      </c>
      <c r="K6" s="76" t="s">
        <v>200</v>
      </c>
      <c r="L6" s="76" t="s">
        <v>200</v>
      </c>
      <c r="M6" s="76" t="s">
        <v>200</v>
      </c>
      <c r="N6" s="75" t="s">
        <v>291</v>
      </c>
      <c r="O6" s="75" t="str">
        <f>VLOOKUP(CONCATENATE(IF(J6="X",1,0),IF(K6="X",2,0),IF(L6="X",3,0),IF(M6="X",4,0)),Puntuaciones!$I$15:$N$67,6,0)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6" s="73"/>
      <c r="Q6" s="90"/>
      <c r="R6" s="90"/>
      <c r="S6" s="90"/>
      <c r="T6" s="90"/>
      <c r="U6" s="91"/>
      <c r="V6" s="77"/>
      <c r="W6" s="78" t="str">
        <f t="shared" si="1"/>
        <v/>
      </c>
      <c r="X6" s="79" t="str">
        <f t="shared" si="2"/>
        <v/>
      </c>
    </row>
    <row r="7" spans="2:34" ht="111.75" customHeight="1" x14ac:dyDescent="0.3">
      <c r="B7" s="74"/>
      <c r="C7" s="74" t="s">
        <v>52</v>
      </c>
      <c r="D7" s="74" t="s">
        <v>258</v>
      </c>
      <c r="E7" s="74">
        <f t="shared" si="0"/>
        <v>1</v>
      </c>
      <c r="F7" s="74" t="s">
        <v>9</v>
      </c>
      <c r="G7" s="92" t="str">
        <f>IFERROR(VLOOKUP($C7,Tablas1!$B$3:$C$22,2,0),"ERROR")</f>
        <v>ERROR</v>
      </c>
      <c r="H7" s="93" t="str">
        <f>IFERROR(VLOOKUP(F7,Tablas1!$H$2:$I$14,2,0),"ERROR")</f>
        <v>FAC3</v>
      </c>
      <c r="I7" s="92" t="s">
        <v>315</v>
      </c>
      <c r="J7" s="76"/>
      <c r="K7" s="76" t="s">
        <v>200</v>
      </c>
      <c r="L7" s="76" t="s">
        <v>200</v>
      </c>
      <c r="M7" s="76" t="s">
        <v>200</v>
      </c>
      <c r="N7" s="75" t="s">
        <v>317</v>
      </c>
      <c r="O7" s="75" t="str">
        <f>VLOOKUP(CONCATENATE(IF(J7="X",1,0),IF(K7="X",2,0),IF(L7="X",3,0),IF(M7="X",4,0)),Puntuaciones!$I$15:$N$67,6,0)</f>
        <v>Mayor exposición de la Lotería al riesgo de LA/FT/FPADM.
Deterioro de los procesos operativos.
Pérdida de reputación.
Procesos judiciales, disciplinarios y/o legales.
Sanciones del supervisor, regulador y/o entes de control.
Pérdida de mercado.</v>
      </c>
      <c r="P7" s="73"/>
      <c r="Q7" s="90"/>
      <c r="R7" s="90"/>
      <c r="S7" s="90"/>
      <c r="T7" s="90"/>
      <c r="U7" s="91"/>
      <c r="V7" s="77"/>
      <c r="W7" s="78"/>
      <c r="X7" s="79"/>
    </row>
    <row r="8" spans="2:34" ht="111.75" customHeight="1" x14ac:dyDescent="0.3">
      <c r="B8" s="74"/>
      <c r="C8" s="74" t="s">
        <v>52</v>
      </c>
      <c r="D8" s="74" t="s">
        <v>258</v>
      </c>
      <c r="E8" s="74">
        <f t="shared" si="0"/>
        <v>2</v>
      </c>
      <c r="F8" s="74" t="s">
        <v>359</v>
      </c>
      <c r="G8" s="92" t="str">
        <f>IFERROR(VLOOKUP($C8,Tablas1!$B$3:$C$22,2,0),"ERROR")</f>
        <v>ERROR</v>
      </c>
      <c r="H8" s="93" t="str">
        <f>IFERROR(VLOOKUP(F8,Tablas1!$H$2:$I$14,2,0),"ERROR")</f>
        <v>ERROR</v>
      </c>
      <c r="I8" s="92" t="s">
        <v>311</v>
      </c>
      <c r="J8" s="76"/>
      <c r="K8" s="76" t="s">
        <v>200</v>
      </c>
      <c r="L8" s="76" t="s">
        <v>200</v>
      </c>
      <c r="M8" s="76" t="s">
        <v>200</v>
      </c>
      <c r="N8" s="75" t="s">
        <v>312</v>
      </c>
      <c r="O8" s="75" t="str">
        <f>VLOOKUP(CONCATENATE(IF(J8="X",1,0),IF(K8="X",2,0),IF(L8="X",3,0),IF(M8="X",4,0)),Puntuaciones!$I$15:$N$67,6,0)</f>
        <v>Mayor exposición de la Lotería al riesgo de LA/FT/FPADM.
Deterioro de los procesos operativos.
Pérdida de reputación.
Procesos judiciales, disciplinarios y/o legales.
Sanciones del supervisor, regulador y/o entes de control.
Pérdida de mercado.</v>
      </c>
      <c r="P8" s="73"/>
      <c r="Q8" s="90"/>
      <c r="R8" s="90"/>
      <c r="S8" s="90"/>
      <c r="T8" s="90"/>
      <c r="U8" s="91"/>
      <c r="V8" s="77"/>
      <c r="W8" s="78"/>
      <c r="X8" s="79"/>
    </row>
    <row r="9" spans="2:34" ht="111.75" customHeight="1" x14ac:dyDescent="0.3">
      <c r="B9" s="74"/>
      <c r="C9" s="74" t="s">
        <v>52</v>
      </c>
      <c r="D9" s="74" t="s">
        <v>258</v>
      </c>
      <c r="E9" s="74">
        <f t="shared" si="0"/>
        <v>3</v>
      </c>
      <c r="F9" s="74" t="s">
        <v>243</v>
      </c>
      <c r="G9" s="92" t="str">
        <f>IFERROR(VLOOKUP($C9,Tablas1!$B$3:$C$22,2,0),"ERROR")</f>
        <v>ERROR</v>
      </c>
      <c r="H9" s="93" t="str">
        <f>IFERROR(VLOOKUP(F9,Tablas1!$H$2:$I$14,2,0),"ERROR")</f>
        <v>FAC2</v>
      </c>
      <c r="I9" s="92" t="s">
        <v>313</v>
      </c>
      <c r="J9" s="76"/>
      <c r="K9" s="76" t="s">
        <v>200</v>
      </c>
      <c r="L9" s="76" t="s">
        <v>200</v>
      </c>
      <c r="M9" s="76" t="s">
        <v>200</v>
      </c>
      <c r="N9" s="75" t="s">
        <v>314</v>
      </c>
      <c r="O9" s="75" t="str">
        <f>VLOOKUP(CONCATENATE(IF(J9="X",1,0),IF(K9="X",2,0),IF(L9="X",3,0),IF(M9="X",4,0)),Puntuaciones!$I$15:$N$67,6,0)</f>
        <v>Mayor exposición de la Lotería al riesgo de LA/FT/FPADM.
Deterioro de los procesos operativos.
Pérdida de reputación.
Procesos judiciales, disciplinarios y/o legales.
Sanciones del supervisor, regulador y/o entes de control.
Pérdida de mercado.</v>
      </c>
      <c r="P9" s="73"/>
      <c r="Q9" s="90"/>
      <c r="R9" s="90"/>
      <c r="S9" s="90"/>
      <c r="T9" s="90"/>
      <c r="U9" s="91"/>
      <c r="V9" s="77"/>
      <c r="W9" s="78"/>
      <c r="X9" s="79"/>
    </row>
    <row r="10" spans="2:34" ht="111.75" customHeight="1" x14ac:dyDescent="0.3">
      <c r="B10" s="74"/>
      <c r="C10" s="74" t="s">
        <v>52</v>
      </c>
      <c r="D10" s="74" t="s">
        <v>258</v>
      </c>
      <c r="E10" s="74">
        <f t="shared" si="0"/>
        <v>4</v>
      </c>
      <c r="F10" s="74" t="s">
        <v>240</v>
      </c>
      <c r="G10" s="92" t="str">
        <f>IFERROR(VLOOKUP($C10,Tablas1!$B$3:$C$22,2,0),"ERROR")</f>
        <v>ERROR</v>
      </c>
      <c r="H10" s="93" t="str">
        <f>IFERROR(VLOOKUP(F10,Tablas1!$H$2:$I$14,2,0),"ERROR")</f>
        <v>ERROR</v>
      </c>
      <c r="I10" s="75" t="s">
        <v>325</v>
      </c>
      <c r="J10" s="76" t="s">
        <v>200</v>
      </c>
      <c r="K10" s="76" t="s">
        <v>200</v>
      </c>
      <c r="L10" s="76" t="s">
        <v>200</v>
      </c>
      <c r="M10" s="76" t="s">
        <v>200</v>
      </c>
      <c r="N10" s="75" t="s">
        <v>291</v>
      </c>
      <c r="O10" s="75" t="str">
        <f>VLOOKUP(CONCATENATE(IF(J10="X",1,0),IF(K10="X",2,0),IF(L10="X",3,0),IF(M10="X",4,0)),Puntuaciones!$I$15:$N$67,6,0)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0" s="73"/>
      <c r="Q10" s="90"/>
      <c r="R10" s="90"/>
      <c r="S10" s="90"/>
      <c r="T10" s="90"/>
      <c r="U10" s="91"/>
      <c r="V10" s="77"/>
      <c r="W10" s="78" t="str">
        <f t="shared" si="1"/>
        <v/>
      </c>
      <c r="X10" s="79" t="str">
        <f t="shared" si="2"/>
        <v/>
      </c>
    </row>
    <row r="11" spans="2:34" ht="111.75" customHeight="1" x14ac:dyDescent="0.3">
      <c r="B11" s="74"/>
      <c r="C11" s="74" t="s">
        <v>52</v>
      </c>
      <c r="D11" s="74" t="s">
        <v>258</v>
      </c>
      <c r="E11" s="74">
        <f t="shared" si="0"/>
        <v>5</v>
      </c>
      <c r="F11" s="74" t="s">
        <v>240</v>
      </c>
      <c r="G11" s="92" t="str">
        <f>IFERROR(VLOOKUP($C11,Tablas1!$B$3:$C$22,2,0),"ERROR")</f>
        <v>ERROR</v>
      </c>
      <c r="H11" s="93" t="str">
        <f>IFERROR(VLOOKUP(F11,Tablas1!$H$2:$I$14,2,0),"ERROR")</f>
        <v>ERROR</v>
      </c>
      <c r="I11" s="75" t="s">
        <v>287</v>
      </c>
      <c r="J11" s="76" t="s">
        <v>200</v>
      </c>
      <c r="K11" s="76" t="s">
        <v>200</v>
      </c>
      <c r="L11" s="76" t="s">
        <v>200</v>
      </c>
      <c r="M11" s="76" t="s">
        <v>200</v>
      </c>
      <c r="N11" s="75" t="s">
        <v>291</v>
      </c>
      <c r="O11" s="75" t="str">
        <f>VLOOKUP(CONCATENATE(IF(J11="X",1,0),IF(K11="X",2,0),IF(L11="X",3,0),IF(M11="X",4,0)),Puntuaciones!$I$15:$N$67,6,0)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1" s="73"/>
      <c r="Q11" s="90"/>
      <c r="R11" s="90"/>
      <c r="S11" s="90"/>
      <c r="T11" s="90"/>
      <c r="U11" s="91"/>
      <c r="V11" s="77"/>
      <c r="W11" s="78" t="str">
        <f t="shared" si="1"/>
        <v/>
      </c>
      <c r="X11" s="79" t="str">
        <f t="shared" si="2"/>
        <v/>
      </c>
    </row>
    <row r="12" spans="2:34" s="23" customFormat="1" ht="111.75" customHeight="1" x14ac:dyDescent="0.3">
      <c r="B12" s="74"/>
      <c r="C12" s="74" t="s">
        <v>52</v>
      </c>
      <c r="D12" s="74" t="s">
        <v>258</v>
      </c>
      <c r="E12" s="74">
        <f t="shared" si="0"/>
        <v>6</v>
      </c>
      <c r="F12" s="74" t="s">
        <v>240</v>
      </c>
      <c r="G12" s="92" t="str">
        <f>IFERROR(VLOOKUP($C12,Tablas1!$B$3:$C$22,2,0),"ERROR")</f>
        <v>ERROR</v>
      </c>
      <c r="H12" s="93" t="str">
        <f>IFERROR(VLOOKUP(F12,Tablas1!$H$2:$I$14,2,0),"ERROR")</f>
        <v>ERROR</v>
      </c>
      <c r="I12" s="75" t="s">
        <v>338</v>
      </c>
      <c r="J12" s="76" t="s">
        <v>200</v>
      </c>
      <c r="K12" s="76" t="s">
        <v>200</v>
      </c>
      <c r="L12" s="76" t="s">
        <v>200</v>
      </c>
      <c r="M12" s="76" t="s">
        <v>200</v>
      </c>
      <c r="N12" s="75" t="s">
        <v>302</v>
      </c>
      <c r="O12" s="75" t="str">
        <f>VLOOKUP(CONCATENATE(IF(J12="X",1,0),IF(K12="X",2,0),IF(L12="X",3,0),IF(M12="X",4,0)),Puntuaciones!$I$15:$N$67,6,0)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2" s="73"/>
      <c r="Q12" s="90"/>
      <c r="R12" s="90"/>
      <c r="S12" s="90"/>
      <c r="T12" s="90"/>
      <c r="U12" s="91"/>
      <c r="V12" s="77"/>
      <c r="W12" s="78"/>
      <c r="X12" s="79"/>
      <c r="Y12" s="21"/>
      <c r="Z12" s="21"/>
      <c r="AA12" s="21"/>
      <c r="AD12" s="21"/>
      <c r="AE12" s="21"/>
      <c r="AF12" s="21"/>
      <c r="AG12" s="21"/>
      <c r="AH12" s="3"/>
    </row>
    <row r="13" spans="2:34" s="23" customFormat="1" ht="111.75" customHeight="1" x14ac:dyDescent="0.3">
      <c r="B13" s="74"/>
      <c r="C13" s="74" t="s">
        <v>52</v>
      </c>
      <c r="D13" s="74" t="s">
        <v>258</v>
      </c>
      <c r="E13" s="74">
        <f t="shared" si="0"/>
        <v>7</v>
      </c>
      <c r="F13" s="74" t="s">
        <v>240</v>
      </c>
      <c r="G13" s="92" t="str">
        <f>IFERROR(VLOOKUP($C13,Tablas1!$B$3:$C$22,2,0),"ERROR")</f>
        <v>ERROR</v>
      </c>
      <c r="H13" s="93" t="str">
        <f>IFERROR(VLOOKUP(F13,Tablas1!$H$2:$I$14,2,0),"ERROR")</f>
        <v>ERROR</v>
      </c>
      <c r="I13" s="75" t="s">
        <v>339</v>
      </c>
      <c r="J13" s="76" t="s">
        <v>200</v>
      </c>
      <c r="K13" s="76" t="s">
        <v>200</v>
      </c>
      <c r="L13" s="76" t="s">
        <v>200</v>
      </c>
      <c r="M13" s="76" t="s">
        <v>200</v>
      </c>
      <c r="N13" s="75" t="s">
        <v>302</v>
      </c>
      <c r="O13" s="75" t="str">
        <f>VLOOKUP(CONCATENATE(IF(J13="X",1,0),IF(K13="X",2,0),IF(L13="X",3,0),IF(M13="X",4,0)),Puntuaciones!$I$15:$N$67,6,0)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3" s="73"/>
      <c r="Q13" s="90"/>
      <c r="R13" s="90"/>
      <c r="S13" s="90"/>
      <c r="T13" s="90"/>
      <c r="U13" s="91"/>
      <c r="V13" s="77"/>
      <c r="W13" s="78"/>
      <c r="X13" s="79"/>
      <c r="Y13" s="21"/>
      <c r="Z13" s="21"/>
      <c r="AA13" s="21"/>
      <c r="AD13" s="21"/>
      <c r="AE13" s="21"/>
      <c r="AF13" s="21"/>
      <c r="AG13" s="21"/>
      <c r="AH13" s="3"/>
    </row>
    <row r="14" spans="2:34" s="23" customFormat="1" ht="108" customHeight="1" x14ac:dyDescent="0.3">
      <c r="B14" s="74"/>
      <c r="C14" s="74" t="s">
        <v>52</v>
      </c>
      <c r="D14" s="74" t="s">
        <v>258</v>
      </c>
      <c r="E14" s="74">
        <f t="shared" si="0"/>
        <v>8</v>
      </c>
      <c r="F14" s="74" t="s">
        <v>240</v>
      </c>
      <c r="G14" s="92" t="str">
        <f>IFERROR(VLOOKUP($C14,Tablas1!$B$3:$C$22,2,0),"ERROR")</f>
        <v>ERROR</v>
      </c>
      <c r="H14" s="93" t="str">
        <f>IFERROR(VLOOKUP(F14,Tablas1!$H$2:$I$14,2,0),"ERROR")</f>
        <v>ERROR</v>
      </c>
      <c r="I14" s="75" t="s">
        <v>384</v>
      </c>
      <c r="J14" s="76" t="s">
        <v>200</v>
      </c>
      <c r="K14" s="76" t="s">
        <v>200</v>
      </c>
      <c r="L14" s="76" t="s">
        <v>200</v>
      </c>
      <c r="M14" s="76" t="s">
        <v>200</v>
      </c>
      <c r="N14" s="75" t="s">
        <v>288</v>
      </c>
      <c r="O14" s="75" t="str">
        <f>VLOOKUP(CONCATENATE(IF(J14="X",1,0),IF(K14="X",2,0),IF(L14="X",3,0),IF(M14="X",4,0)),Puntuaciones!$I$15:$N$67,6,0)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4" s="73"/>
      <c r="Q14" s="90"/>
      <c r="R14" s="90"/>
      <c r="S14" s="90"/>
      <c r="T14" s="90"/>
      <c r="U14" s="91"/>
      <c r="V14" s="77"/>
      <c r="W14" s="78" t="str">
        <f t="shared" si="1"/>
        <v/>
      </c>
      <c r="X14" s="79" t="str">
        <f t="shared" si="2"/>
        <v/>
      </c>
      <c r="Y14" s="21"/>
      <c r="Z14" s="21"/>
      <c r="AA14" s="21"/>
      <c r="AD14" s="21"/>
      <c r="AE14" s="21"/>
      <c r="AF14" s="21"/>
      <c r="AG14" s="21"/>
      <c r="AH14" s="3"/>
    </row>
    <row r="15" spans="2:34" s="23" customFormat="1" ht="78" customHeight="1" x14ac:dyDescent="0.3">
      <c r="B15" s="74"/>
      <c r="C15" s="74" t="s">
        <v>52</v>
      </c>
      <c r="D15" s="74" t="s">
        <v>258</v>
      </c>
      <c r="E15" s="74">
        <f t="shared" si="0"/>
        <v>9</v>
      </c>
      <c r="F15" s="74" t="s">
        <v>240</v>
      </c>
      <c r="G15" s="92" t="str">
        <f>IFERROR(VLOOKUP($C15,Tablas1!$B$3:$C$22,2,0),"ERROR")</f>
        <v>ERROR</v>
      </c>
      <c r="H15" s="93" t="str">
        <f>IFERROR(VLOOKUP(F15,Tablas1!$H$2:$I$14,2,0),"ERROR")</f>
        <v>ERROR</v>
      </c>
      <c r="I15" s="92" t="s">
        <v>289</v>
      </c>
      <c r="J15" s="76" t="s">
        <v>200</v>
      </c>
      <c r="K15" s="76" t="s">
        <v>200</v>
      </c>
      <c r="L15" s="76" t="s">
        <v>200</v>
      </c>
      <c r="M15" s="76" t="s">
        <v>200</v>
      </c>
      <c r="N15" s="75" t="s">
        <v>291</v>
      </c>
      <c r="O15" s="75" t="str">
        <f>VLOOKUP(CONCATENATE(IF(J15="X",1,0),IF(K15="X",2,0),IF(L15="X",3,0),IF(M15="X",4,0)),Puntuaciones!$I$15:$N$67,6,0)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5" s="73"/>
      <c r="Q15" s="90"/>
      <c r="R15" s="90"/>
      <c r="S15" s="90"/>
      <c r="T15" s="90"/>
      <c r="U15" s="91"/>
      <c r="V15" s="77"/>
      <c r="W15" s="78" t="str">
        <f t="shared" si="1"/>
        <v/>
      </c>
      <c r="X15" s="79" t="str">
        <f t="shared" si="2"/>
        <v/>
      </c>
      <c r="Y15" s="21"/>
      <c r="Z15" s="21"/>
      <c r="AA15" s="21"/>
      <c r="AD15" s="21"/>
      <c r="AE15" s="21"/>
      <c r="AF15" s="21"/>
      <c r="AG15" s="21"/>
      <c r="AH15" s="3"/>
    </row>
    <row r="16" spans="2:34" s="23" customFormat="1" ht="115.5" customHeight="1" x14ac:dyDescent="0.3">
      <c r="B16" s="74"/>
      <c r="C16" s="74" t="s">
        <v>52</v>
      </c>
      <c r="D16" s="74" t="s">
        <v>258</v>
      </c>
      <c r="E16" s="74">
        <f t="shared" si="0"/>
        <v>10</v>
      </c>
      <c r="F16" s="74" t="s">
        <v>240</v>
      </c>
      <c r="G16" s="92" t="str">
        <f>IFERROR(VLOOKUP($C16,Tablas1!$B$3:$C$22,2,0),"ERROR")</f>
        <v>ERROR</v>
      </c>
      <c r="H16" s="93" t="str">
        <f>IFERROR(VLOOKUP(F16,Tablas1!$H$2:$I$14,2,0),"ERROR")</f>
        <v>ERROR</v>
      </c>
      <c r="I16" s="92" t="s">
        <v>385</v>
      </c>
      <c r="J16" s="76" t="s">
        <v>200</v>
      </c>
      <c r="K16" s="76" t="s">
        <v>200</v>
      </c>
      <c r="L16" s="76" t="s">
        <v>200</v>
      </c>
      <c r="M16" s="76" t="s">
        <v>200</v>
      </c>
      <c r="N16" s="75" t="s">
        <v>290</v>
      </c>
      <c r="O16" s="75" t="str">
        <f>VLOOKUP(CONCATENATE(IF(J16="X",1,0),IF(K16="X",2,0),IF(L16="X",3,0),IF(M16="X",4,0)),Puntuaciones!$I$15:$N$67,6,0)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6" s="73"/>
      <c r="Q16" s="90"/>
      <c r="R16" s="90"/>
      <c r="S16" s="90"/>
      <c r="T16" s="90"/>
      <c r="U16" s="91"/>
      <c r="V16" s="77"/>
      <c r="W16" s="78" t="str">
        <f t="shared" si="1"/>
        <v/>
      </c>
      <c r="X16" s="79" t="str">
        <f t="shared" si="2"/>
        <v/>
      </c>
      <c r="Y16" s="21"/>
      <c r="Z16" s="21"/>
      <c r="AA16" s="21"/>
      <c r="AD16" s="21"/>
      <c r="AE16" s="21"/>
      <c r="AF16" s="21"/>
      <c r="AG16" s="21"/>
      <c r="AH16" s="3"/>
    </row>
    <row r="17" spans="2:34" s="23" customFormat="1" ht="84.75" customHeight="1" x14ac:dyDescent="0.3">
      <c r="B17" s="74"/>
      <c r="C17" s="74" t="s">
        <v>228</v>
      </c>
      <c r="D17" s="74" t="s">
        <v>257</v>
      </c>
      <c r="E17" s="74">
        <f>ROW(C17)-6</f>
        <v>11</v>
      </c>
      <c r="F17" s="74" t="s">
        <v>240</v>
      </c>
      <c r="G17" s="92" t="str">
        <f>IFERROR(VLOOKUP($C17,Tablas1!$B$3:$C$22,2,0),"ERROR")</f>
        <v>ERROR</v>
      </c>
      <c r="H17" s="93" t="str">
        <f>IFERROR(VLOOKUP(F17,Tablas1!$H$2:$I$14,2,0),"ERROR")</f>
        <v>ERROR</v>
      </c>
      <c r="I17" s="75" t="s">
        <v>286</v>
      </c>
      <c r="J17" s="76" t="s">
        <v>200</v>
      </c>
      <c r="K17" s="76" t="s">
        <v>200</v>
      </c>
      <c r="L17" s="76" t="s">
        <v>200</v>
      </c>
      <c r="M17" s="76" t="s">
        <v>200</v>
      </c>
      <c r="N17" s="75" t="s">
        <v>283</v>
      </c>
      <c r="O17" s="75" t="str">
        <f>VLOOKUP(CONCATENATE(IF(J17="X",1,0),IF(K17="X",2,0),IF(L17="X",3,0),IF(M17="X",4,0)),Puntuaciones!$I$15:$N$67,6,0)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7" s="73"/>
      <c r="Q17" s="90"/>
      <c r="R17" s="90"/>
      <c r="S17" s="90"/>
      <c r="T17" s="90"/>
      <c r="U17" s="91"/>
      <c r="V17" s="77"/>
      <c r="W17" s="78" t="str">
        <f t="shared" si="1"/>
        <v/>
      </c>
      <c r="X17" s="79" t="str">
        <f t="shared" si="2"/>
        <v/>
      </c>
      <c r="Y17" s="21"/>
      <c r="Z17" s="29"/>
      <c r="AA17" s="53"/>
      <c r="AB17" s="53"/>
      <c r="AD17" s="21"/>
      <c r="AE17" s="21"/>
      <c r="AF17" s="21"/>
      <c r="AG17" s="21"/>
      <c r="AH17" s="3"/>
    </row>
    <row r="18" spans="2:34" s="23" customFormat="1" ht="90" customHeight="1" x14ac:dyDescent="0.3">
      <c r="B18" s="74"/>
      <c r="C18" s="74" t="s">
        <v>228</v>
      </c>
      <c r="D18" s="74" t="s">
        <v>257</v>
      </c>
      <c r="E18" s="74">
        <f>ROW(C18)-6</f>
        <v>12</v>
      </c>
      <c r="F18" s="74" t="s">
        <v>242</v>
      </c>
      <c r="G18" s="92" t="str">
        <f>IFERROR(VLOOKUP($C18,Tablas1!$B$3:$C$22,2,0),"ERROR")</f>
        <v>ERROR</v>
      </c>
      <c r="H18" s="93" t="str">
        <f>IFERROR(VLOOKUP(F18,Tablas1!$H$2:$I$14,2,0),"ERROR")</f>
        <v>FAC5</v>
      </c>
      <c r="I18" s="75" t="s">
        <v>292</v>
      </c>
      <c r="J18" s="76" t="s">
        <v>200</v>
      </c>
      <c r="K18" s="76" t="s">
        <v>200</v>
      </c>
      <c r="L18" s="76" t="s">
        <v>200</v>
      </c>
      <c r="M18" s="76" t="s">
        <v>200</v>
      </c>
      <c r="N18" s="75" t="s">
        <v>293</v>
      </c>
      <c r="O18" s="75" t="str">
        <f>VLOOKUP(CONCATENATE(IF(J18="X",1,0),IF(K18="X",2,0),IF(L18="X",3,0),IF(M18="X",4,0)),Puntuaciones!$I$15:$N$67,6,0)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8" s="73"/>
      <c r="Q18" s="90"/>
      <c r="R18" s="90"/>
      <c r="S18" s="90"/>
      <c r="T18" s="90"/>
      <c r="U18" s="91"/>
      <c r="V18" s="77"/>
      <c r="W18" s="78" t="str">
        <f t="shared" si="1"/>
        <v/>
      </c>
      <c r="X18" s="79" t="str">
        <f t="shared" si="2"/>
        <v/>
      </c>
      <c r="Y18" s="21"/>
      <c r="Z18" s="57"/>
      <c r="AA18" s="21"/>
      <c r="AD18" s="21"/>
      <c r="AE18" s="21"/>
      <c r="AF18" s="21"/>
      <c r="AG18" s="21"/>
      <c r="AH18" s="3"/>
    </row>
    <row r="19" spans="2:34" s="23" customFormat="1" ht="94.5" customHeight="1" x14ac:dyDescent="0.3">
      <c r="B19" s="74"/>
      <c r="C19" s="74" t="s">
        <v>228</v>
      </c>
      <c r="D19" s="74" t="s">
        <v>257</v>
      </c>
      <c r="E19" s="74">
        <f t="shared" ref="E19:E82" si="3">ROW(C19)-6</f>
        <v>13</v>
      </c>
      <c r="F19" s="74" t="s">
        <v>242</v>
      </c>
      <c r="G19" s="92" t="str">
        <f>IFERROR(VLOOKUP($C19,Tablas1!$B$3:$C$22,2,0),"ERROR")</f>
        <v>ERROR</v>
      </c>
      <c r="H19" s="93" t="str">
        <f>IFERROR(VLOOKUP(F19,Tablas1!$H$2:$I$14,2,0),"ERROR")</f>
        <v>FAC5</v>
      </c>
      <c r="I19" s="92" t="s">
        <v>310</v>
      </c>
      <c r="J19" s="76" t="s">
        <v>200</v>
      </c>
      <c r="K19" s="76" t="s">
        <v>200</v>
      </c>
      <c r="L19" s="76" t="s">
        <v>200</v>
      </c>
      <c r="M19" s="76" t="s">
        <v>200</v>
      </c>
      <c r="N19" s="75" t="s">
        <v>295</v>
      </c>
      <c r="O19" s="75" t="str">
        <f>VLOOKUP(CONCATENATE(IF(J19="X",1,0),IF(K19="X",2,0),IF(L19="X",3,0),IF(M19="X",4,0)),Puntuaciones!$I$15:$N$67,6,0)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19" s="73"/>
      <c r="Q19" s="90"/>
      <c r="R19" s="90"/>
      <c r="S19" s="90"/>
      <c r="T19" s="90"/>
      <c r="U19" s="91"/>
      <c r="V19" s="77"/>
      <c r="W19" s="78" t="str">
        <f t="shared" si="1"/>
        <v/>
      </c>
      <c r="X19" s="79" t="str">
        <f t="shared" si="2"/>
        <v/>
      </c>
      <c r="Y19" s="21"/>
      <c r="Z19" s="21"/>
      <c r="AA19" s="21"/>
      <c r="AD19" s="21"/>
      <c r="AE19" s="21"/>
      <c r="AF19" s="21"/>
      <c r="AG19" s="21"/>
      <c r="AH19" s="3"/>
    </row>
    <row r="20" spans="2:34" s="23" customFormat="1" ht="94.5" customHeight="1" x14ac:dyDescent="0.3">
      <c r="B20" s="74"/>
      <c r="C20" s="74" t="s">
        <v>228</v>
      </c>
      <c r="D20" s="74" t="s">
        <v>259</v>
      </c>
      <c r="E20" s="74">
        <f t="shared" si="3"/>
        <v>14</v>
      </c>
      <c r="F20" s="74" t="s">
        <v>242</v>
      </c>
      <c r="G20" s="92" t="str">
        <f>IFERROR(VLOOKUP($C20,Tablas1!$B$3:$C$22,2,0),"ERROR")</f>
        <v>ERROR</v>
      </c>
      <c r="H20" s="93" t="str">
        <f>IFERROR(VLOOKUP(F20,Tablas1!$H$2:$I$14,2,0),"ERROR")</f>
        <v>FAC5</v>
      </c>
      <c r="I20" s="92" t="s">
        <v>294</v>
      </c>
      <c r="J20" s="76" t="s">
        <v>200</v>
      </c>
      <c r="K20" s="76" t="s">
        <v>200</v>
      </c>
      <c r="L20" s="76" t="s">
        <v>200</v>
      </c>
      <c r="M20" s="76" t="s">
        <v>200</v>
      </c>
      <c r="N20" s="75" t="s">
        <v>295</v>
      </c>
      <c r="O20" s="75" t="str">
        <f>VLOOKUP(CONCATENATE(IF(J20="X",1,0),IF(K20="X",2,0),IF(L20="X",3,0),IF(M20="X",4,0)),Puntuaciones!$I$15:$N$67,6,0)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0" s="73"/>
      <c r="Q20" s="90"/>
      <c r="R20" s="90"/>
      <c r="S20" s="90"/>
      <c r="T20" s="90"/>
      <c r="U20" s="91"/>
      <c r="V20" s="77"/>
      <c r="W20" s="78" t="str">
        <f t="shared" si="1"/>
        <v/>
      </c>
      <c r="X20" s="79" t="str">
        <f t="shared" si="2"/>
        <v/>
      </c>
      <c r="Y20" s="21"/>
      <c r="Z20" s="21"/>
      <c r="AA20" s="21"/>
      <c r="AD20" s="21"/>
      <c r="AE20" s="21"/>
      <c r="AF20" s="21"/>
      <c r="AG20" s="21"/>
      <c r="AH20" s="3"/>
    </row>
    <row r="21" spans="2:34" s="23" customFormat="1" ht="94.5" customHeight="1" x14ac:dyDescent="0.3">
      <c r="B21" s="74"/>
      <c r="C21" s="74" t="s">
        <v>228</v>
      </c>
      <c r="D21" s="74" t="s">
        <v>259</v>
      </c>
      <c r="E21" s="74">
        <f t="shared" si="3"/>
        <v>15</v>
      </c>
      <c r="F21" s="74" t="s">
        <v>242</v>
      </c>
      <c r="G21" s="92" t="str">
        <f>IFERROR(VLOOKUP($C21,Tablas1!$B$3:$C$22,2,0),"ERROR")</f>
        <v>ERROR</v>
      </c>
      <c r="H21" s="93" t="str">
        <f>IFERROR(VLOOKUP(F21,Tablas1!$H$2:$I$14,2,0),"ERROR")</f>
        <v>FAC5</v>
      </c>
      <c r="I21" s="92" t="s">
        <v>296</v>
      </c>
      <c r="J21" s="76"/>
      <c r="K21" s="76"/>
      <c r="L21" s="76" t="s">
        <v>200</v>
      </c>
      <c r="M21" s="76" t="s">
        <v>200</v>
      </c>
      <c r="N21" s="75" t="s">
        <v>297</v>
      </c>
      <c r="O21" s="75" t="str">
        <f>VLOOKUP(CONCATENATE(IF(J21="X",1,0),IF(K21="X",2,0),IF(L21="X",3,0),IF(M21="X",4,0)),Puntuaciones!$I$15:$N$67,6,0)</f>
        <v>Mayor exposición de la Lotería al riesgo de LA/FT/FPADM.
Pérdida de reputación.
Procesos judiciales, disciplinarios y/o legales.
Sanciones del supervisor, regulador y/o entes de control.</v>
      </c>
      <c r="P21" s="73"/>
      <c r="Q21" s="90"/>
      <c r="R21" s="90"/>
      <c r="S21" s="90"/>
      <c r="T21" s="90"/>
      <c r="U21" s="91"/>
      <c r="V21" s="77"/>
      <c r="W21" s="78" t="str">
        <f t="shared" si="1"/>
        <v/>
      </c>
      <c r="X21" s="79" t="str">
        <f t="shared" si="2"/>
        <v/>
      </c>
      <c r="Y21" s="21"/>
      <c r="Z21" s="21"/>
      <c r="AA21" s="21"/>
      <c r="AD21" s="21"/>
      <c r="AE21" s="21"/>
      <c r="AF21" s="21"/>
      <c r="AG21" s="21"/>
      <c r="AH21" s="3"/>
    </row>
    <row r="22" spans="2:34" s="23" customFormat="1" ht="94.5" customHeight="1" x14ac:dyDescent="0.3">
      <c r="B22" s="74"/>
      <c r="C22" s="74" t="s">
        <v>228</v>
      </c>
      <c r="D22" s="74" t="s">
        <v>257</v>
      </c>
      <c r="E22" s="74">
        <f t="shared" si="3"/>
        <v>16</v>
      </c>
      <c r="F22" s="74" t="s">
        <v>9</v>
      </c>
      <c r="G22" s="92" t="str">
        <f>IFERROR(VLOOKUP($C22,Tablas1!$B$3:$C$22,2,0),"ERROR")</f>
        <v>ERROR</v>
      </c>
      <c r="H22" s="93" t="str">
        <f>IFERROR(VLOOKUP(F22,Tablas1!$H$2:$I$14,2,0),"ERROR")</f>
        <v>FAC3</v>
      </c>
      <c r="I22" s="92" t="s">
        <v>298</v>
      </c>
      <c r="J22" s="76"/>
      <c r="K22" s="76" t="s">
        <v>200</v>
      </c>
      <c r="L22" s="76" t="s">
        <v>200</v>
      </c>
      <c r="M22" s="76" t="s">
        <v>200</v>
      </c>
      <c r="N22" s="75" t="s">
        <v>302</v>
      </c>
      <c r="O22" s="75" t="str">
        <f>VLOOKUP(CONCATENATE(IF(J22="X",1,0),IF(K22="X",2,0),IF(L22="X",3,0),IF(M22="X",4,0)),Puntuaciones!$I$15:$N$67,6,0)</f>
        <v>Mayor exposición de la Lotería al riesgo de LA/FT/FPADM.
Deterioro de los procesos operativos.
Pérdida de reputación.
Procesos judiciales, disciplinarios y/o legales.
Sanciones del supervisor, regulador y/o entes de control.
Pérdida de mercado.</v>
      </c>
      <c r="P22" s="73"/>
      <c r="Q22" s="90"/>
      <c r="R22" s="90"/>
      <c r="S22" s="90"/>
      <c r="T22" s="90"/>
      <c r="U22" s="91"/>
      <c r="V22" s="77"/>
      <c r="W22" s="78" t="str">
        <f t="shared" si="1"/>
        <v/>
      </c>
      <c r="X22" s="79" t="str">
        <f t="shared" si="2"/>
        <v/>
      </c>
      <c r="Y22" s="21"/>
      <c r="Z22" s="21"/>
      <c r="AA22" s="21"/>
      <c r="AD22" s="21"/>
      <c r="AE22" s="21"/>
      <c r="AF22" s="21"/>
      <c r="AG22" s="21"/>
      <c r="AH22" s="3"/>
    </row>
    <row r="23" spans="2:34" s="23" customFormat="1" ht="94.5" customHeight="1" x14ac:dyDescent="0.3">
      <c r="B23" s="74"/>
      <c r="C23" s="74" t="s">
        <v>228</v>
      </c>
      <c r="D23" s="74" t="s">
        <v>259</v>
      </c>
      <c r="E23" s="74">
        <f t="shared" si="3"/>
        <v>17</v>
      </c>
      <c r="F23" s="74" t="s">
        <v>9</v>
      </c>
      <c r="G23" s="92" t="str">
        <f>IFERROR(VLOOKUP($C23,Tablas1!$B$3:$C$22,2,0),"ERROR")</f>
        <v>ERROR</v>
      </c>
      <c r="H23" s="93" t="str">
        <f>IFERROR(VLOOKUP(F23,Tablas1!$H$2:$I$14,2,0),"ERROR")</f>
        <v>FAC3</v>
      </c>
      <c r="I23" s="92" t="s">
        <v>303</v>
      </c>
      <c r="J23" s="76"/>
      <c r="K23" s="76" t="s">
        <v>200</v>
      </c>
      <c r="L23" s="76" t="s">
        <v>200</v>
      </c>
      <c r="M23" s="76" t="s">
        <v>200</v>
      </c>
      <c r="N23" s="75" t="s">
        <v>304</v>
      </c>
      <c r="O23" s="75" t="str">
        <f>VLOOKUP(CONCATENATE(IF(J23="X",1,0),IF(K23="X",2,0),IF(L23="X",3,0),IF(M23="X",4,0)),Puntuaciones!$I$15:$N$67,6,0)</f>
        <v>Mayor exposición de la Lotería al riesgo de LA/FT/FPADM.
Deterioro de los procesos operativos.
Pérdida de reputación.
Procesos judiciales, disciplinarios y/o legales.
Sanciones del supervisor, regulador y/o entes de control.
Pérdida de mercado.</v>
      </c>
      <c r="P23" s="73"/>
      <c r="Q23" s="90"/>
      <c r="R23" s="90"/>
      <c r="S23" s="90"/>
      <c r="T23" s="90"/>
      <c r="U23" s="91"/>
      <c r="V23" s="77"/>
      <c r="W23" s="78"/>
      <c r="X23" s="79"/>
      <c r="Y23" s="21"/>
      <c r="Z23" s="21"/>
      <c r="AA23" s="21"/>
      <c r="AD23" s="21"/>
      <c r="AE23" s="21"/>
      <c r="AF23" s="21"/>
      <c r="AG23" s="21"/>
      <c r="AH23" s="3"/>
    </row>
    <row r="24" spans="2:34" s="23" customFormat="1" ht="94.5" customHeight="1" x14ac:dyDescent="0.3">
      <c r="B24" s="74"/>
      <c r="C24" s="74" t="s">
        <v>226</v>
      </c>
      <c r="D24" s="74" t="s">
        <v>226</v>
      </c>
      <c r="E24" s="74">
        <f t="shared" si="3"/>
        <v>18</v>
      </c>
      <c r="F24" s="74" t="s">
        <v>242</v>
      </c>
      <c r="G24" s="92" t="str">
        <f>IFERROR(VLOOKUP($C24,Tablas1!$B$3:$C$22,2,0),"ERROR")</f>
        <v>ERROR</v>
      </c>
      <c r="H24" s="93" t="str">
        <f>IFERROR(VLOOKUP(F24,Tablas1!$H$2:$I$14,2,0),"ERROR")</f>
        <v>FAC5</v>
      </c>
      <c r="I24" s="92" t="s">
        <v>382</v>
      </c>
      <c r="J24" s="76" t="s">
        <v>200</v>
      </c>
      <c r="K24" s="76" t="s">
        <v>200</v>
      </c>
      <c r="L24" s="76" t="s">
        <v>200</v>
      </c>
      <c r="M24" s="76" t="s">
        <v>200</v>
      </c>
      <c r="N24" s="75" t="s">
        <v>305</v>
      </c>
      <c r="O24" s="75" t="str">
        <f>VLOOKUP(CONCATENATE(IF(J24="X",1,0),IF(K24="X",2,0),IF(L24="X",3,0),IF(M24="X",4,0)),Puntuaciones!$I$15:$N$67,6,0)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4" s="73"/>
      <c r="Q24" s="90"/>
      <c r="R24" s="90"/>
      <c r="S24" s="90"/>
      <c r="T24" s="90"/>
      <c r="U24" s="91"/>
      <c r="V24" s="77"/>
      <c r="W24" s="78"/>
      <c r="X24" s="79"/>
      <c r="Y24" s="21"/>
      <c r="Z24" s="21"/>
      <c r="AA24" s="21"/>
      <c r="AD24" s="21"/>
      <c r="AE24" s="21"/>
      <c r="AF24" s="21"/>
      <c r="AG24" s="21"/>
      <c r="AH24" s="3"/>
    </row>
    <row r="25" spans="2:34" s="23" customFormat="1" ht="94.5" customHeight="1" x14ac:dyDescent="0.3">
      <c r="B25" s="74"/>
      <c r="C25" s="74" t="s">
        <v>226</v>
      </c>
      <c r="D25" s="74" t="s">
        <v>226</v>
      </c>
      <c r="E25" s="74">
        <f t="shared" si="3"/>
        <v>19</v>
      </c>
      <c r="F25" s="74" t="s">
        <v>240</v>
      </c>
      <c r="G25" s="92" t="str">
        <f>IFERROR(VLOOKUP($C25,Tablas1!$B$3:$C$22,2,0),"ERROR")</f>
        <v>ERROR</v>
      </c>
      <c r="H25" s="93" t="str">
        <f>IFERROR(VLOOKUP(F25,Tablas1!$H$2:$I$14,2,0),"ERROR")</f>
        <v>ERROR</v>
      </c>
      <c r="I25" s="92" t="s">
        <v>300</v>
      </c>
      <c r="J25" s="76" t="s">
        <v>200</v>
      </c>
      <c r="K25" s="76" t="s">
        <v>200</v>
      </c>
      <c r="L25" s="76" t="s">
        <v>200</v>
      </c>
      <c r="M25" s="76" t="s">
        <v>200</v>
      </c>
      <c r="N25" s="75" t="s">
        <v>306</v>
      </c>
      <c r="O25" s="75" t="str">
        <f>VLOOKUP(CONCATENATE(IF(J25="X",1,0),IF(K25="X",2,0),IF(L25="X",3,0),IF(M25="X",4,0)),Puntuaciones!$I$15:$N$67,6,0)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5" s="73"/>
      <c r="Q25" s="90"/>
      <c r="R25" s="90"/>
      <c r="S25" s="90"/>
      <c r="T25" s="90"/>
      <c r="U25" s="91"/>
      <c r="V25" s="77"/>
      <c r="W25" s="78"/>
      <c r="X25" s="79"/>
      <c r="Y25" s="21"/>
      <c r="Z25" s="21"/>
      <c r="AA25" s="21"/>
      <c r="AD25" s="21"/>
      <c r="AE25" s="21"/>
      <c r="AF25" s="21"/>
      <c r="AG25" s="21"/>
      <c r="AH25" s="3"/>
    </row>
    <row r="26" spans="2:34" s="23" customFormat="1" ht="94.5" customHeight="1" x14ac:dyDescent="0.3">
      <c r="B26" s="74"/>
      <c r="C26" s="74" t="s">
        <v>226</v>
      </c>
      <c r="D26" s="74" t="s">
        <v>226</v>
      </c>
      <c r="E26" s="74">
        <f t="shared" si="3"/>
        <v>20</v>
      </c>
      <c r="F26" s="74" t="s">
        <v>284</v>
      </c>
      <c r="G26" s="92" t="str">
        <f>IFERROR(VLOOKUP($C26,Tablas1!$B$3:$C$22,2,0),"ERROR")</f>
        <v>ERROR</v>
      </c>
      <c r="H26" s="93" t="str">
        <f>IFERROR(VLOOKUP(F26,Tablas1!$H$2:$I$14,2,0),"ERROR")</f>
        <v>ERROR</v>
      </c>
      <c r="I26" s="92" t="s">
        <v>301</v>
      </c>
      <c r="J26" s="76" t="s">
        <v>200</v>
      </c>
      <c r="K26" s="76" t="s">
        <v>200</v>
      </c>
      <c r="L26" s="76" t="s">
        <v>200</v>
      </c>
      <c r="M26" s="76" t="s">
        <v>200</v>
      </c>
      <c r="N26" s="75" t="s">
        <v>307</v>
      </c>
      <c r="O26" s="75" t="str">
        <f>VLOOKUP(CONCATENATE(IF(J26="X",1,0),IF(K26="X",2,0),IF(L26="X",3,0),IF(M26="X",4,0)),Puntuaciones!$I$15:$N$67,6,0)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6" s="73"/>
      <c r="Q26" s="90"/>
      <c r="R26" s="90"/>
      <c r="S26" s="90"/>
      <c r="T26" s="90"/>
      <c r="U26" s="91"/>
      <c r="V26" s="77"/>
      <c r="W26" s="78"/>
      <c r="X26" s="79"/>
      <c r="Y26" s="21"/>
      <c r="Z26" s="21"/>
      <c r="AA26" s="21"/>
      <c r="AD26" s="21"/>
      <c r="AE26" s="21"/>
      <c r="AF26" s="21"/>
      <c r="AG26" s="21"/>
      <c r="AH26" s="3"/>
    </row>
    <row r="27" spans="2:34" s="23" customFormat="1" ht="94.5" customHeight="1" x14ac:dyDescent="0.3">
      <c r="B27" s="74"/>
      <c r="C27" s="74" t="s">
        <v>226</v>
      </c>
      <c r="D27" s="74" t="s">
        <v>226</v>
      </c>
      <c r="E27" s="74">
        <f t="shared" si="3"/>
        <v>21</v>
      </c>
      <c r="F27" s="74" t="s">
        <v>241</v>
      </c>
      <c r="G27" s="92" t="str">
        <f>IFERROR(VLOOKUP($C27,Tablas1!$B$3:$C$22,2,0),"ERROR")</f>
        <v>ERROR</v>
      </c>
      <c r="H27" s="93" t="str">
        <f>IFERROR(VLOOKUP(F27,Tablas1!$H$2:$I$14,2,0),"ERROR")</f>
        <v>ERROR</v>
      </c>
      <c r="I27" s="92" t="s">
        <v>308</v>
      </c>
      <c r="J27" s="76" t="s">
        <v>200</v>
      </c>
      <c r="K27" s="76" t="s">
        <v>200</v>
      </c>
      <c r="L27" s="76" t="s">
        <v>200</v>
      </c>
      <c r="M27" s="76" t="s">
        <v>200</v>
      </c>
      <c r="N27" s="75" t="s">
        <v>309</v>
      </c>
      <c r="O27" s="75" t="str">
        <f>VLOOKUP(CONCATENATE(IF(J27="X",1,0),IF(K27="X",2,0),IF(L27="X",3,0),IF(M27="X",4,0)),Puntuaciones!$I$15:$N$67,6,0)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27" s="73"/>
      <c r="Q27" s="90"/>
      <c r="R27" s="90"/>
      <c r="S27" s="90"/>
      <c r="T27" s="90"/>
      <c r="U27" s="91"/>
      <c r="V27" s="77"/>
      <c r="W27" s="78"/>
      <c r="X27" s="79"/>
      <c r="Y27" s="21"/>
      <c r="Z27" s="21"/>
      <c r="AA27" s="21"/>
      <c r="AD27" s="21"/>
      <c r="AE27" s="21"/>
      <c r="AF27" s="21"/>
      <c r="AG27" s="21"/>
      <c r="AH27" s="3"/>
    </row>
    <row r="28" spans="2:34" s="21" customFormat="1" ht="94.5" customHeight="1" x14ac:dyDescent="0.3">
      <c r="B28" s="74"/>
      <c r="C28" s="74" t="s">
        <v>226</v>
      </c>
      <c r="D28" s="74" t="s">
        <v>226</v>
      </c>
      <c r="E28" s="74">
        <f t="shared" si="3"/>
        <v>22</v>
      </c>
      <c r="F28" s="74" t="s">
        <v>9</v>
      </c>
      <c r="G28" s="92" t="str">
        <f>IFERROR(VLOOKUP($C28,Tablas1!$B$3:$C$22,2,0),"ERROR")</f>
        <v>ERROR</v>
      </c>
      <c r="H28" s="93" t="str">
        <f>IFERROR(VLOOKUP(F28,Tablas1!$H$2:$I$14,2,0),"ERROR")</f>
        <v>FAC3</v>
      </c>
      <c r="I28" s="92" t="s">
        <v>315</v>
      </c>
      <c r="J28" s="76"/>
      <c r="K28" s="76" t="s">
        <v>200</v>
      </c>
      <c r="L28" s="76" t="s">
        <v>200</v>
      </c>
      <c r="M28" s="76" t="s">
        <v>200</v>
      </c>
      <c r="N28" s="75" t="s">
        <v>316</v>
      </c>
      <c r="O28" s="75" t="str">
        <f>VLOOKUP(CONCATENATE(IF(J28="X",1,0),IF(K28="X",2,0),IF(L28="X",3,0),IF(M28="X",4,0)),Puntuaciones!$I$15:$N$67,6,0)</f>
        <v>Mayor exposición de la Lotería al riesgo de LA/FT/FPADM.
Deterioro de los procesos operativos.
Pérdida de reputación.
Procesos judiciales, disciplinarios y/o legales.
Sanciones del supervisor, regulador y/o entes de control.
Pérdida de mercado.</v>
      </c>
      <c r="P28" s="73"/>
      <c r="Q28" s="90"/>
      <c r="R28" s="90"/>
      <c r="S28" s="90"/>
      <c r="T28" s="90"/>
      <c r="U28" s="91"/>
      <c r="V28" s="77"/>
      <c r="W28" s="78"/>
      <c r="X28" s="79"/>
      <c r="AB28" s="23"/>
      <c r="AC28" s="23"/>
      <c r="AH28" s="3"/>
    </row>
    <row r="29" spans="2:34" s="21" customFormat="1" ht="94.5" customHeight="1" x14ac:dyDescent="0.3">
      <c r="B29" s="74"/>
      <c r="C29" s="74" t="s">
        <v>226</v>
      </c>
      <c r="D29" s="74" t="s">
        <v>226</v>
      </c>
      <c r="E29" s="74">
        <f t="shared" si="3"/>
        <v>23</v>
      </c>
      <c r="F29" s="74" t="s">
        <v>359</v>
      </c>
      <c r="G29" s="92" t="str">
        <f>IFERROR(VLOOKUP($C29,Tablas1!$B$3:$C$22,2,0),"ERROR")</f>
        <v>ERROR</v>
      </c>
      <c r="H29" s="93" t="str">
        <f>IFERROR(VLOOKUP(F29,Tablas1!$H$2:$I$14,2,0),"ERROR")</f>
        <v>ERROR</v>
      </c>
      <c r="I29" s="92" t="s">
        <v>311</v>
      </c>
      <c r="J29" s="76"/>
      <c r="K29" s="76" t="s">
        <v>200</v>
      </c>
      <c r="L29" s="76" t="s">
        <v>200</v>
      </c>
      <c r="M29" s="76" t="s">
        <v>200</v>
      </c>
      <c r="N29" s="75" t="s">
        <v>312</v>
      </c>
      <c r="O29" s="75" t="str">
        <f>VLOOKUP(CONCATENATE(IF(J29="X",1,0),IF(K29="X",2,0),IF(L29="X",3,0),IF(M29="X",4,0)),Puntuaciones!$I$15:$N$67,6,0)</f>
        <v>Mayor exposición de la Lotería al riesgo de LA/FT/FPADM.
Deterioro de los procesos operativos.
Pérdida de reputación.
Procesos judiciales, disciplinarios y/o legales.
Sanciones del supervisor, regulador y/o entes de control.
Pérdida de mercado.</v>
      </c>
      <c r="P29" s="73"/>
      <c r="Q29" s="90"/>
      <c r="R29" s="90"/>
      <c r="S29" s="90"/>
      <c r="T29" s="90"/>
      <c r="U29" s="91"/>
      <c r="V29" s="77"/>
      <c r="W29" s="78"/>
      <c r="X29" s="79"/>
      <c r="AB29" s="23"/>
      <c r="AC29" s="23"/>
      <c r="AH29" s="3"/>
    </row>
    <row r="30" spans="2:34" s="21" customFormat="1" ht="94.5" customHeight="1" x14ac:dyDescent="0.3">
      <c r="B30" s="74"/>
      <c r="C30" s="74" t="s">
        <v>226</v>
      </c>
      <c r="D30" s="74" t="s">
        <v>226</v>
      </c>
      <c r="E30" s="74">
        <f t="shared" si="3"/>
        <v>24</v>
      </c>
      <c r="F30" s="74" t="s">
        <v>243</v>
      </c>
      <c r="G30" s="92" t="str">
        <f>IFERROR(VLOOKUP($C30,Tablas1!$B$3:$C$22,2,0),"ERROR")</f>
        <v>ERROR</v>
      </c>
      <c r="H30" s="93" t="str">
        <f>IFERROR(VLOOKUP(F30,Tablas1!$H$2:$I$14,2,0),"ERROR")</f>
        <v>FAC2</v>
      </c>
      <c r="I30" s="92" t="s">
        <v>313</v>
      </c>
      <c r="J30" s="76"/>
      <c r="K30" s="76" t="s">
        <v>200</v>
      </c>
      <c r="L30" s="76" t="s">
        <v>200</v>
      </c>
      <c r="M30" s="76" t="s">
        <v>200</v>
      </c>
      <c r="N30" s="75" t="s">
        <v>314</v>
      </c>
      <c r="O30" s="75" t="str">
        <f>VLOOKUP(CONCATENATE(IF(J30="X",1,0),IF(K30="X",2,0),IF(L30="X",3,0),IF(M30="X",4,0)),Puntuaciones!$I$15:$N$67,6,0)</f>
        <v>Mayor exposición de la Lotería al riesgo de LA/FT/FPADM.
Deterioro de los procesos operativos.
Pérdida de reputación.
Procesos judiciales, disciplinarios y/o legales.
Sanciones del supervisor, regulador y/o entes de control.
Pérdida de mercado.</v>
      </c>
      <c r="P30" s="73"/>
      <c r="Q30" s="90"/>
      <c r="R30" s="90"/>
      <c r="S30" s="90"/>
      <c r="T30" s="90"/>
      <c r="U30" s="91"/>
      <c r="V30" s="77"/>
      <c r="W30" s="78"/>
      <c r="X30" s="79"/>
      <c r="AB30" s="23"/>
      <c r="AC30" s="23"/>
      <c r="AH30" s="3"/>
    </row>
    <row r="31" spans="2:34" s="21" customFormat="1" ht="94.5" customHeight="1" x14ac:dyDescent="0.3">
      <c r="B31" s="74"/>
      <c r="C31" s="74" t="s">
        <v>229</v>
      </c>
      <c r="D31" s="74" t="s">
        <v>229</v>
      </c>
      <c r="E31" s="74">
        <f t="shared" si="3"/>
        <v>25</v>
      </c>
      <c r="F31" s="74" t="s">
        <v>243</v>
      </c>
      <c r="G31" s="92" t="str">
        <f>IFERROR(VLOOKUP($C31,Tablas1!$B$3:$C$22,2,0),"ERROR")</f>
        <v>ERROR</v>
      </c>
      <c r="H31" s="93" t="str">
        <f>IFERROR(VLOOKUP(F31,Tablas1!$H$2:$I$14,2,0),"ERROR")</f>
        <v>FAC2</v>
      </c>
      <c r="I31" s="92" t="s">
        <v>350</v>
      </c>
      <c r="J31" s="76" t="s">
        <v>200</v>
      </c>
      <c r="K31" s="76" t="s">
        <v>200</v>
      </c>
      <c r="L31" s="76" t="s">
        <v>200</v>
      </c>
      <c r="M31" s="76" t="s">
        <v>200</v>
      </c>
      <c r="N31" s="75" t="s">
        <v>372</v>
      </c>
      <c r="O31" s="75" t="str">
        <f>VLOOKUP(CONCATENATE(IF(J31="X",1,0),IF(K31="X",2,0),IF(L31="X",3,0),IF(M31="X",4,0)),Puntuaciones!$I$15:$N$67,6,0)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1" s="73"/>
      <c r="Q31" s="90"/>
      <c r="R31" s="90"/>
      <c r="S31" s="90"/>
      <c r="T31" s="90"/>
      <c r="U31" s="91"/>
      <c r="V31" s="77"/>
      <c r="W31" s="78"/>
      <c r="X31" s="79"/>
      <c r="AB31" s="23"/>
      <c r="AC31" s="23"/>
      <c r="AH31" s="3"/>
    </row>
    <row r="32" spans="2:34" s="21" customFormat="1" ht="94.5" customHeight="1" x14ac:dyDescent="0.3">
      <c r="B32" s="74"/>
      <c r="C32" s="74" t="s">
        <v>230</v>
      </c>
      <c r="D32" s="74" t="s">
        <v>230</v>
      </c>
      <c r="E32" s="74">
        <f t="shared" si="3"/>
        <v>26</v>
      </c>
      <c r="F32" s="74" t="s">
        <v>284</v>
      </c>
      <c r="G32" s="92" t="str">
        <f>IFERROR(VLOOKUP($C32,Tablas1!$B$3:$C$22,2,0),"ERROR")</f>
        <v>ERROR</v>
      </c>
      <c r="H32" s="93" t="str">
        <f>IFERROR(VLOOKUP(F32,Tablas1!$H$2:$I$14,2,0),"ERROR")</f>
        <v>ERROR</v>
      </c>
      <c r="I32" s="92" t="s">
        <v>318</v>
      </c>
      <c r="J32" s="76"/>
      <c r="K32" s="76" t="s">
        <v>200</v>
      </c>
      <c r="L32" s="76" t="s">
        <v>200</v>
      </c>
      <c r="M32" s="76" t="s">
        <v>200</v>
      </c>
      <c r="N32" s="75" t="s">
        <v>319</v>
      </c>
      <c r="O32" s="75" t="str">
        <f>VLOOKUP(CONCATENATE(IF(J32="X",1,0),IF(K32="X",2,0),IF(L32="X",3,0),IF(M32="X",4,0)),Puntuaciones!$I$15:$N$67,6,0)</f>
        <v>Mayor exposición de la Lotería al riesgo de LA/FT/FPADM.
Deterioro de los procesos operativos.
Pérdida de reputación.
Procesos judiciales, disciplinarios y/o legales.
Sanciones del supervisor, regulador y/o entes de control.
Pérdida de mercado.</v>
      </c>
      <c r="P32" s="73"/>
      <c r="Q32" s="90"/>
      <c r="R32" s="90"/>
      <c r="S32" s="90"/>
      <c r="T32" s="90"/>
      <c r="U32" s="91"/>
      <c r="V32" s="77"/>
      <c r="W32" s="78"/>
      <c r="X32" s="79"/>
      <c r="AB32" s="23"/>
      <c r="AC32" s="23"/>
      <c r="AH32" s="3"/>
    </row>
    <row r="33" spans="2:34" s="21" customFormat="1" ht="94.5" customHeight="1" x14ac:dyDescent="0.3">
      <c r="B33" s="74"/>
      <c r="C33" s="74" t="s">
        <v>230</v>
      </c>
      <c r="D33" s="74" t="s">
        <v>260</v>
      </c>
      <c r="E33" s="74">
        <f t="shared" si="3"/>
        <v>27</v>
      </c>
      <c r="F33" s="74" t="s">
        <v>242</v>
      </c>
      <c r="G33" s="92" t="str">
        <f>IFERROR(VLOOKUP($C33,Tablas1!$B$3:$C$22,2,0),"ERROR")</f>
        <v>ERROR</v>
      </c>
      <c r="H33" s="93" t="str">
        <f>IFERROR(VLOOKUP(F33,Tablas1!$H$2:$I$14,2,0),"ERROR")</f>
        <v>FAC5</v>
      </c>
      <c r="I33" s="92" t="s">
        <v>281</v>
      </c>
      <c r="J33" s="76"/>
      <c r="K33" s="76" t="s">
        <v>200</v>
      </c>
      <c r="L33" s="76" t="s">
        <v>200</v>
      </c>
      <c r="M33" s="76" t="s">
        <v>200</v>
      </c>
      <c r="N33" s="75" t="s">
        <v>322</v>
      </c>
      <c r="O33" s="75" t="str">
        <f>VLOOKUP(CONCATENATE(IF(J33="X",1,0),IF(K33="X",2,0),IF(L33="X",3,0),IF(M33="X",4,0)),Puntuaciones!$I$15:$N$67,6,0)</f>
        <v>Mayor exposición de la Lotería al riesgo de LA/FT/FPADM.
Deterioro de los procesos operativos.
Pérdida de reputación.
Procesos judiciales, disciplinarios y/o legales.
Sanciones del supervisor, regulador y/o entes de control.
Pérdida de mercado.</v>
      </c>
      <c r="P33" s="73"/>
      <c r="Q33" s="90"/>
      <c r="R33" s="90"/>
      <c r="S33" s="90"/>
      <c r="T33" s="90"/>
      <c r="U33" s="91"/>
      <c r="V33" s="77"/>
      <c r="W33" s="78"/>
      <c r="X33" s="79"/>
      <c r="AB33" s="23"/>
      <c r="AC33" s="23"/>
      <c r="AH33" s="3"/>
    </row>
    <row r="34" spans="2:34" s="21" customFormat="1" ht="94.5" customHeight="1" x14ac:dyDescent="0.3">
      <c r="B34" s="74"/>
      <c r="C34" s="74" t="s">
        <v>230</v>
      </c>
      <c r="D34" s="74" t="s">
        <v>260</v>
      </c>
      <c r="E34" s="74">
        <f t="shared" si="3"/>
        <v>28</v>
      </c>
      <c r="F34" s="74" t="s">
        <v>242</v>
      </c>
      <c r="G34" s="92" t="str">
        <f>IFERROR(VLOOKUP($C34,Tablas1!$B$3:$C$22,2,0),"ERROR")</f>
        <v>ERROR</v>
      </c>
      <c r="H34" s="93" t="str">
        <f>IFERROR(VLOOKUP(F34,Tablas1!$H$2:$I$14,2,0),"ERROR")</f>
        <v>FAC5</v>
      </c>
      <c r="I34" s="92" t="s">
        <v>320</v>
      </c>
      <c r="J34" s="76" t="s">
        <v>200</v>
      </c>
      <c r="K34" s="76" t="s">
        <v>200</v>
      </c>
      <c r="L34" s="76" t="s">
        <v>200</v>
      </c>
      <c r="M34" s="76" t="s">
        <v>200</v>
      </c>
      <c r="N34" s="75" t="s">
        <v>323</v>
      </c>
      <c r="O34" s="75" t="str">
        <f>VLOOKUP(CONCATENATE(IF(J34="X",1,0),IF(K34="X",2,0),IF(L34="X",3,0),IF(M34="X",4,0)),Puntuaciones!$I$15:$N$67,6,0)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4" s="73"/>
      <c r="Q34" s="90"/>
      <c r="R34" s="90"/>
      <c r="S34" s="90"/>
      <c r="T34" s="90"/>
      <c r="U34" s="91"/>
      <c r="V34" s="77"/>
      <c r="W34" s="78"/>
      <c r="X34" s="79"/>
      <c r="AB34" s="23"/>
      <c r="AC34" s="23"/>
      <c r="AH34" s="3"/>
    </row>
    <row r="35" spans="2:34" s="21" customFormat="1" ht="94.5" customHeight="1" x14ac:dyDescent="0.3">
      <c r="B35" s="74"/>
      <c r="C35" s="74" t="s">
        <v>230</v>
      </c>
      <c r="D35" s="74" t="s">
        <v>260</v>
      </c>
      <c r="E35" s="74">
        <f t="shared" si="3"/>
        <v>29</v>
      </c>
      <c r="F35" s="74" t="s">
        <v>242</v>
      </c>
      <c r="G35" s="92" t="str">
        <f>IFERROR(VLOOKUP($C35,Tablas1!$B$3:$C$22,2,0),"ERROR")</f>
        <v>ERROR</v>
      </c>
      <c r="H35" s="93" t="str">
        <f>IFERROR(VLOOKUP(F35,Tablas1!$H$2:$I$14,2,0),"ERROR")</f>
        <v>FAC5</v>
      </c>
      <c r="I35" s="92" t="s">
        <v>324</v>
      </c>
      <c r="J35" s="76" t="s">
        <v>200</v>
      </c>
      <c r="K35" s="76" t="s">
        <v>200</v>
      </c>
      <c r="L35" s="76" t="s">
        <v>200</v>
      </c>
      <c r="M35" s="76" t="s">
        <v>200</v>
      </c>
      <c r="N35" s="75" t="s">
        <v>323</v>
      </c>
      <c r="O35" s="75" t="str">
        <f>VLOOKUP(CONCATENATE(IF(J35="X",1,0),IF(K35="X",2,0),IF(L35="X",3,0),IF(M35="X",4,0)),Puntuaciones!$I$15:$N$67,6,0)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5" s="73"/>
      <c r="Q35" s="90"/>
      <c r="R35" s="90"/>
      <c r="S35" s="90"/>
      <c r="T35" s="90"/>
      <c r="U35" s="91"/>
      <c r="V35" s="77"/>
      <c r="W35" s="78"/>
      <c r="X35" s="79"/>
      <c r="AB35" s="23"/>
      <c r="AC35" s="23"/>
      <c r="AH35" s="3"/>
    </row>
    <row r="36" spans="2:34" s="21" customFormat="1" ht="94.5" customHeight="1" x14ac:dyDescent="0.3">
      <c r="B36" s="74"/>
      <c r="C36" s="74" t="s">
        <v>230</v>
      </c>
      <c r="D36" s="74" t="s">
        <v>260</v>
      </c>
      <c r="E36" s="74">
        <f t="shared" si="3"/>
        <v>30</v>
      </c>
      <c r="F36" s="74" t="s">
        <v>242</v>
      </c>
      <c r="G36" s="92" t="str">
        <f>IFERROR(VLOOKUP($C36,Tablas1!$B$3:$C$22,2,0),"ERROR")</f>
        <v>ERROR</v>
      </c>
      <c r="H36" s="93" t="str">
        <f>IFERROR(VLOOKUP(F36,Tablas1!$H$2:$I$14,2,0),"ERROR")</f>
        <v>FAC5</v>
      </c>
      <c r="I36" s="92" t="s">
        <v>357</v>
      </c>
      <c r="J36" s="76" t="s">
        <v>200</v>
      </c>
      <c r="K36" s="76" t="s">
        <v>200</v>
      </c>
      <c r="L36" s="76" t="s">
        <v>200</v>
      </c>
      <c r="M36" s="76" t="s">
        <v>200</v>
      </c>
      <c r="N36" s="75" t="s">
        <v>327</v>
      </c>
      <c r="O36" s="75" t="str">
        <f>VLOOKUP(CONCATENATE(IF(J36="X",1,0),IF(K36="X",2,0),IF(L36="X",3,0),IF(M36="X",4,0)),Puntuaciones!$I$15:$N$67,6,0)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6" s="73"/>
      <c r="Q36" s="90"/>
      <c r="R36" s="90"/>
      <c r="S36" s="90"/>
      <c r="T36" s="90"/>
      <c r="U36" s="91"/>
      <c r="V36" s="77"/>
      <c r="W36" s="78"/>
      <c r="X36" s="79"/>
      <c r="AB36" s="23"/>
      <c r="AC36" s="23"/>
      <c r="AH36" s="3"/>
    </row>
    <row r="37" spans="2:34" s="21" customFormat="1" ht="94.5" customHeight="1" x14ac:dyDescent="0.3">
      <c r="B37" s="74"/>
      <c r="C37" s="74" t="s">
        <v>230</v>
      </c>
      <c r="D37" s="74" t="s">
        <v>260</v>
      </c>
      <c r="E37" s="74">
        <f t="shared" si="3"/>
        <v>31</v>
      </c>
      <c r="F37" s="74" t="s">
        <v>242</v>
      </c>
      <c r="G37" s="92" t="str">
        <f>IFERROR(VLOOKUP($C37,Tablas1!$B$3:$C$22,2,0),"ERROR")</f>
        <v>ERROR</v>
      </c>
      <c r="H37" s="93" t="str">
        <f>IFERROR(VLOOKUP(F37,Tablas1!$H$2:$I$14,2,0),"ERROR")</f>
        <v>FAC5</v>
      </c>
      <c r="I37" s="92" t="s">
        <v>326</v>
      </c>
      <c r="J37" s="76" t="s">
        <v>200</v>
      </c>
      <c r="K37" s="76" t="s">
        <v>200</v>
      </c>
      <c r="L37" s="76" t="s">
        <v>200</v>
      </c>
      <c r="M37" s="76" t="s">
        <v>200</v>
      </c>
      <c r="N37" s="75" t="s">
        <v>323</v>
      </c>
      <c r="O37" s="75" t="str">
        <f>VLOOKUP(CONCATENATE(IF(J37="X",1,0),IF(K37="X",2,0),IF(L37="X",3,0),IF(M37="X",4,0)),Puntuaciones!$I$15:$N$67,6,0)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7" s="73"/>
      <c r="Q37" s="90"/>
      <c r="R37" s="90"/>
      <c r="S37" s="90"/>
      <c r="T37" s="90"/>
      <c r="U37" s="91"/>
      <c r="V37" s="77"/>
      <c r="W37" s="78"/>
      <c r="X37" s="79"/>
      <c r="AB37" s="23"/>
      <c r="AC37" s="23"/>
      <c r="AH37" s="3"/>
    </row>
    <row r="38" spans="2:34" s="21" customFormat="1" ht="94.5" customHeight="1" x14ac:dyDescent="0.3">
      <c r="B38" s="74"/>
      <c r="C38" s="74" t="s">
        <v>230</v>
      </c>
      <c r="D38" s="74" t="s">
        <v>260</v>
      </c>
      <c r="E38" s="74">
        <f t="shared" si="3"/>
        <v>32</v>
      </c>
      <c r="F38" s="74" t="s">
        <v>242</v>
      </c>
      <c r="G38" s="92" t="str">
        <f>IFERROR(VLOOKUP($C38,Tablas1!$B$3:$C$22,2,0),"ERROR")</f>
        <v>ERROR</v>
      </c>
      <c r="H38" s="93" t="str">
        <f>IFERROR(VLOOKUP(F38,Tablas1!$H$2:$I$14,2,0),"ERROR")</f>
        <v>FAC5</v>
      </c>
      <c r="I38" s="75" t="s">
        <v>340</v>
      </c>
      <c r="J38" s="76" t="s">
        <v>200</v>
      </c>
      <c r="K38" s="76" t="s">
        <v>200</v>
      </c>
      <c r="L38" s="76" t="s">
        <v>200</v>
      </c>
      <c r="M38" s="76" t="s">
        <v>200</v>
      </c>
      <c r="N38" s="75" t="s">
        <v>348</v>
      </c>
      <c r="O38" s="75" t="str">
        <f>VLOOKUP(CONCATENATE(IF(J38="X",1,0),IF(K38="X",2,0),IF(L38="X",3,0),IF(M38="X",4,0)),Puntuaciones!$I$15:$N$67,6,0)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8" s="73"/>
      <c r="Q38" s="90"/>
      <c r="R38" s="90"/>
      <c r="S38" s="90"/>
      <c r="T38" s="90"/>
      <c r="U38" s="91"/>
      <c r="V38" s="77"/>
      <c r="W38" s="78"/>
      <c r="X38" s="79"/>
      <c r="AB38" s="23"/>
      <c r="AC38" s="23"/>
      <c r="AH38" s="3"/>
    </row>
    <row r="39" spans="2:34" s="21" customFormat="1" ht="94.5" customHeight="1" x14ac:dyDescent="0.3">
      <c r="B39" s="74"/>
      <c r="C39" s="74" t="s">
        <v>230</v>
      </c>
      <c r="D39" s="74" t="s">
        <v>260</v>
      </c>
      <c r="E39" s="74">
        <f t="shared" si="3"/>
        <v>33</v>
      </c>
      <c r="F39" s="74" t="s">
        <v>242</v>
      </c>
      <c r="G39" s="92" t="str">
        <f>IFERROR(VLOOKUP($C39,Tablas1!$B$3:$C$22,2,0),"ERROR")</f>
        <v>ERROR</v>
      </c>
      <c r="H39" s="93" t="str">
        <f>IFERROR(VLOOKUP(F39,Tablas1!$H$2:$I$14,2,0),"ERROR")</f>
        <v>FAC5</v>
      </c>
      <c r="I39" s="75" t="s">
        <v>341</v>
      </c>
      <c r="J39" s="76" t="s">
        <v>200</v>
      </c>
      <c r="K39" s="76" t="s">
        <v>200</v>
      </c>
      <c r="L39" s="76" t="s">
        <v>200</v>
      </c>
      <c r="M39" s="76" t="s">
        <v>200</v>
      </c>
      <c r="N39" s="75" t="s">
        <v>348</v>
      </c>
      <c r="O39" s="75" t="str">
        <f>VLOOKUP(CONCATENATE(IF(J39="X",1,0),IF(K39="X",2,0),IF(L39="X",3,0),IF(M39="X",4,0)),Puntuaciones!$I$15:$N$67,6,0)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39" s="73"/>
      <c r="Q39" s="90"/>
      <c r="R39" s="90"/>
      <c r="S39" s="90"/>
      <c r="T39" s="90"/>
      <c r="U39" s="91"/>
      <c r="V39" s="77"/>
      <c r="W39" s="78"/>
      <c r="X39" s="79"/>
      <c r="AB39" s="23"/>
      <c r="AC39" s="23"/>
      <c r="AH39" s="3"/>
    </row>
    <row r="40" spans="2:34" s="21" customFormat="1" ht="94.5" customHeight="1" x14ac:dyDescent="0.3">
      <c r="B40" s="74"/>
      <c r="C40" s="74" t="s">
        <v>230</v>
      </c>
      <c r="D40" s="74" t="s">
        <v>260</v>
      </c>
      <c r="E40" s="74">
        <f t="shared" si="3"/>
        <v>34</v>
      </c>
      <c r="F40" s="74" t="s">
        <v>242</v>
      </c>
      <c r="G40" s="92" t="str">
        <f>IFERROR(VLOOKUP($C40,Tablas1!$B$3:$C$22,2,0),"ERROR")</f>
        <v>ERROR</v>
      </c>
      <c r="H40" s="93" t="str">
        <f>IFERROR(VLOOKUP(F40,Tablas1!$H$2:$I$14,2,0),"ERROR")</f>
        <v>FAC5</v>
      </c>
      <c r="I40" s="92" t="s">
        <v>383</v>
      </c>
      <c r="J40" s="76" t="s">
        <v>200</v>
      </c>
      <c r="K40" s="76" t="s">
        <v>200</v>
      </c>
      <c r="L40" s="76" t="s">
        <v>200</v>
      </c>
      <c r="M40" s="76" t="s">
        <v>200</v>
      </c>
      <c r="N40" s="75" t="s">
        <v>288</v>
      </c>
      <c r="O40" s="75" t="str">
        <f>VLOOKUP(CONCATENATE(IF(J40="X",1,0),IF(K40="X",2,0),IF(L40="X",3,0),IF(M40="X",4,0)),Puntuaciones!$I$15:$N$67,6,0)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0" s="73"/>
      <c r="Q40" s="90"/>
      <c r="R40" s="90"/>
      <c r="S40" s="90"/>
      <c r="T40" s="90"/>
      <c r="U40" s="91"/>
      <c r="V40" s="77"/>
      <c r="W40" s="78"/>
      <c r="X40" s="79"/>
      <c r="AB40" s="23"/>
      <c r="AC40" s="23"/>
      <c r="AH40" s="3"/>
    </row>
    <row r="41" spans="2:34" s="21" customFormat="1" ht="94.5" customHeight="1" x14ac:dyDescent="0.3">
      <c r="B41" s="74"/>
      <c r="C41" s="74" t="s">
        <v>230</v>
      </c>
      <c r="D41" s="74" t="s">
        <v>260</v>
      </c>
      <c r="E41" s="74">
        <f t="shared" si="3"/>
        <v>35</v>
      </c>
      <c r="F41" s="74" t="s">
        <v>242</v>
      </c>
      <c r="G41" s="92" t="str">
        <f>IFERROR(VLOOKUP($C41,Tablas1!$B$3:$C$22,2,0),"ERROR")</f>
        <v>ERROR</v>
      </c>
      <c r="H41" s="93" t="str">
        <f>IFERROR(VLOOKUP(F41,Tablas1!$H$2:$I$14,2,0),"ERROR")</f>
        <v>FAC5</v>
      </c>
      <c r="I41" s="92" t="s">
        <v>330</v>
      </c>
      <c r="J41" s="76" t="s">
        <v>200</v>
      </c>
      <c r="K41" s="76" t="s">
        <v>200</v>
      </c>
      <c r="L41" s="76" t="s">
        <v>200</v>
      </c>
      <c r="M41" s="76" t="s">
        <v>200</v>
      </c>
      <c r="N41" s="75" t="s">
        <v>323</v>
      </c>
      <c r="O41" s="75" t="str">
        <f>VLOOKUP(CONCATENATE(IF(J41="X",1,0),IF(K41="X",2,0),IF(L41="X",3,0),IF(M41="X",4,0)),Puntuaciones!$I$15:$N$67,6,0)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1" s="73"/>
      <c r="Q41" s="90"/>
      <c r="R41" s="90"/>
      <c r="S41" s="90"/>
      <c r="T41" s="90"/>
      <c r="U41" s="91"/>
      <c r="V41" s="77"/>
      <c r="W41" s="78"/>
      <c r="X41" s="79"/>
      <c r="AB41" s="23"/>
      <c r="AC41" s="23"/>
      <c r="AH41" s="3"/>
    </row>
    <row r="42" spans="2:34" s="21" customFormat="1" ht="94.5" customHeight="1" x14ac:dyDescent="0.3">
      <c r="B42" s="74"/>
      <c r="C42" s="74" t="s">
        <v>230</v>
      </c>
      <c r="D42" s="74" t="s">
        <v>260</v>
      </c>
      <c r="E42" s="74">
        <f t="shared" si="3"/>
        <v>36</v>
      </c>
      <c r="F42" s="74" t="s">
        <v>242</v>
      </c>
      <c r="G42" s="92" t="str">
        <f>IFERROR(VLOOKUP($C42,Tablas1!$B$3:$C$22,2,0),"ERROR")</f>
        <v>ERROR</v>
      </c>
      <c r="H42" s="93" t="str">
        <f>IFERROR(VLOOKUP(F42,Tablas1!$H$2:$I$14,2,0),"ERROR")</f>
        <v>FAC5</v>
      </c>
      <c r="I42" s="92" t="s">
        <v>386</v>
      </c>
      <c r="J42" s="76" t="s">
        <v>200</v>
      </c>
      <c r="K42" s="76" t="s">
        <v>200</v>
      </c>
      <c r="L42" s="76" t="s">
        <v>200</v>
      </c>
      <c r="M42" s="76" t="s">
        <v>200</v>
      </c>
      <c r="N42" s="75" t="s">
        <v>327</v>
      </c>
      <c r="O42" s="75" t="str">
        <f>VLOOKUP(CONCATENATE(IF(J42="X",1,0),IF(K42="X",2,0),IF(L42="X",3,0),IF(M42="X",4,0)),Puntuaciones!$I$15:$N$67,6,0)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2" s="73"/>
      <c r="Q42" s="90"/>
      <c r="R42" s="90"/>
      <c r="S42" s="90"/>
      <c r="T42" s="90"/>
      <c r="U42" s="91"/>
      <c r="V42" s="77"/>
      <c r="W42" s="78"/>
      <c r="X42" s="79"/>
      <c r="AB42" s="23"/>
      <c r="AC42" s="23"/>
      <c r="AH42" s="3"/>
    </row>
    <row r="43" spans="2:34" s="21" customFormat="1" ht="94.5" customHeight="1" x14ac:dyDescent="0.3">
      <c r="B43" s="74"/>
      <c r="C43" s="74" t="s">
        <v>230</v>
      </c>
      <c r="D43" s="74" t="s">
        <v>261</v>
      </c>
      <c r="E43" s="74">
        <f t="shared" si="3"/>
        <v>37</v>
      </c>
      <c r="F43" s="74" t="s">
        <v>240</v>
      </c>
      <c r="G43" s="92" t="str">
        <f>IFERROR(VLOOKUP($C43,Tablas1!$B$3:$C$22,2,0),"ERROR")</f>
        <v>ERROR</v>
      </c>
      <c r="H43" s="93" t="str">
        <f>IFERROR(VLOOKUP(F43,Tablas1!$H$2:$I$14,2,0),"ERROR")</f>
        <v>ERROR</v>
      </c>
      <c r="I43" s="92" t="s">
        <v>328</v>
      </c>
      <c r="J43" s="76" t="s">
        <v>200</v>
      </c>
      <c r="K43" s="76" t="s">
        <v>200</v>
      </c>
      <c r="L43" s="76" t="s">
        <v>200</v>
      </c>
      <c r="M43" s="76" t="s">
        <v>200</v>
      </c>
      <c r="N43" s="75" t="s">
        <v>329</v>
      </c>
      <c r="O43" s="75" t="str">
        <f>VLOOKUP(CONCATENATE(IF(J43="X",1,0),IF(K43="X",2,0),IF(L43="X",3,0),IF(M43="X",4,0)),Puntuaciones!$I$15:$N$67,6,0)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3" s="73"/>
      <c r="Q43" s="90"/>
      <c r="R43" s="90"/>
      <c r="S43" s="90"/>
      <c r="T43" s="90"/>
      <c r="U43" s="91"/>
      <c r="V43" s="77"/>
      <c r="W43" s="78"/>
      <c r="X43" s="79"/>
      <c r="AB43" s="23"/>
      <c r="AC43" s="23"/>
      <c r="AH43" s="3"/>
    </row>
    <row r="44" spans="2:34" s="21" customFormat="1" ht="94.5" customHeight="1" x14ac:dyDescent="0.3">
      <c r="B44" s="74"/>
      <c r="C44" s="74" t="s">
        <v>199</v>
      </c>
      <c r="D44" s="74" t="s">
        <v>342</v>
      </c>
      <c r="E44" s="74">
        <f t="shared" si="3"/>
        <v>38</v>
      </c>
      <c r="F44" s="74" t="s">
        <v>284</v>
      </c>
      <c r="G44" s="92" t="str">
        <f>IFERROR(VLOOKUP($C44,Tablas1!$B$3:$C$22,2,0),"ERROR")</f>
        <v>ERROR</v>
      </c>
      <c r="H44" s="93" t="str">
        <f>IFERROR(VLOOKUP(F44,Tablas1!$H$2:$I$14,2,0),"ERROR")</f>
        <v>ERROR</v>
      </c>
      <c r="I44" s="92" t="s">
        <v>334</v>
      </c>
      <c r="J44" s="76" t="s">
        <v>200</v>
      </c>
      <c r="K44" s="76" t="s">
        <v>200</v>
      </c>
      <c r="L44" s="76" t="s">
        <v>200</v>
      </c>
      <c r="M44" s="76" t="s">
        <v>200</v>
      </c>
      <c r="N44" s="75" t="s">
        <v>373</v>
      </c>
      <c r="O44" s="75" t="str">
        <f>VLOOKUP(CONCATENATE(IF(J44="X",1,0),IF(K44="X",2,0),IF(L44="X",3,0),IF(M44="X",4,0)),Puntuaciones!$I$15:$N$67,6,0)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4" s="73"/>
      <c r="Q44" s="90"/>
      <c r="R44" s="90"/>
      <c r="S44" s="90"/>
      <c r="T44" s="90"/>
      <c r="U44" s="91"/>
      <c r="V44" s="77"/>
      <c r="W44" s="78"/>
      <c r="X44" s="79"/>
      <c r="AB44" s="23"/>
      <c r="AC44" s="23"/>
      <c r="AH44" s="3"/>
    </row>
    <row r="45" spans="2:34" s="21" customFormat="1" ht="94.5" customHeight="1" x14ac:dyDescent="0.3">
      <c r="B45" s="74"/>
      <c r="C45" s="74" t="s">
        <v>199</v>
      </c>
      <c r="D45" s="74" t="s">
        <v>342</v>
      </c>
      <c r="E45" s="74">
        <f t="shared" si="3"/>
        <v>39</v>
      </c>
      <c r="F45" s="74" t="s">
        <v>284</v>
      </c>
      <c r="G45" s="92" t="str">
        <f>IFERROR(VLOOKUP($C45,Tablas1!$B$3:$C$22,2,0),"ERROR")</f>
        <v>ERROR</v>
      </c>
      <c r="H45" s="93" t="str">
        <f>IFERROR(VLOOKUP(F45,Tablas1!$H$2:$I$14,2,0),"ERROR")</f>
        <v>ERROR</v>
      </c>
      <c r="I45" s="92" t="s">
        <v>333</v>
      </c>
      <c r="J45" s="76" t="s">
        <v>200</v>
      </c>
      <c r="K45" s="76" t="s">
        <v>200</v>
      </c>
      <c r="L45" s="76" t="s">
        <v>200</v>
      </c>
      <c r="M45" s="76" t="s">
        <v>200</v>
      </c>
      <c r="N45" s="75" t="s">
        <v>373</v>
      </c>
      <c r="O45" s="75" t="str">
        <f>VLOOKUP(CONCATENATE(IF(J45="X",1,0),IF(K45="X",2,0),IF(L45="X",3,0),IF(M45="X",4,0)),Puntuaciones!$I$15:$N$67,6,0)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5" s="73"/>
      <c r="Q45" s="90"/>
      <c r="R45" s="90"/>
      <c r="S45" s="90"/>
      <c r="T45" s="90"/>
      <c r="U45" s="91"/>
      <c r="V45" s="77"/>
      <c r="W45" s="78"/>
      <c r="X45" s="79"/>
      <c r="AB45" s="23"/>
      <c r="AC45" s="23"/>
      <c r="AH45" s="3"/>
    </row>
    <row r="46" spans="2:34" s="21" customFormat="1" ht="94.5" customHeight="1" x14ac:dyDescent="0.3">
      <c r="B46" s="74"/>
      <c r="C46" s="74" t="s">
        <v>199</v>
      </c>
      <c r="D46" s="74" t="s">
        <v>342</v>
      </c>
      <c r="E46" s="74">
        <f t="shared" si="3"/>
        <v>40</v>
      </c>
      <c r="F46" s="74" t="s">
        <v>284</v>
      </c>
      <c r="G46" s="92" t="str">
        <f>IFERROR(VLOOKUP($C46,Tablas1!$B$3:$C$22,2,0),"ERROR")</f>
        <v>ERROR</v>
      </c>
      <c r="H46" s="93" t="str">
        <f>IFERROR(VLOOKUP(F46,Tablas1!$H$2:$I$14,2,0),"ERROR")</f>
        <v>ERROR</v>
      </c>
      <c r="I46" s="92" t="s">
        <v>332</v>
      </c>
      <c r="J46" s="76" t="s">
        <v>200</v>
      </c>
      <c r="K46" s="76" t="s">
        <v>200</v>
      </c>
      <c r="L46" s="76" t="s">
        <v>200</v>
      </c>
      <c r="M46" s="76" t="s">
        <v>200</v>
      </c>
      <c r="N46" s="75" t="s">
        <v>374</v>
      </c>
      <c r="O46" s="75" t="str">
        <f>VLOOKUP(CONCATENATE(IF(J46="X",1,0),IF(K46="X",2,0),IF(L46="X",3,0),IF(M46="X",4,0)),Puntuaciones!$I$15:$N$67,6,0)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6" s="73"/>
      <c r="Q46" s="90"/>
      <c r="R46" s="90"/>
      <c r="S46" s="90"/>
      <c r="T46" s="90"/>
      <c r="U46" s="91"/>
      <c r="V46" s="77"/>
      <c r="W46" s="78"/>
      <c r="X46" s="79"/>
      <c r="AB46" s="23"/>
      <c r="AC46" s="23"/>
      <c r="AH46" s="3"/>
    </row>
    <row r="47" spans="2:34" s="21" customFormat="1" ht="94.5" customHeight="1" x14ac:dyDescent="0.3">
      <c r="B47" s="74"/>
      <c r="C47" s="74" t="s">
        <v>199</v>
      </c>
      <c r="D47" s="74" t="s">
        <v>342</v>
      </c>
      <c r="E47" s="74">
        <f t="shared" si="3"/>
        <v>41</v>
      </c>
      <c r="F47" s="74" t="s">
        <v>284</v>
      </c>
      <c r="G47" s="92" t="str">
        <f>IFERROR(VLOOKUP($C47,Tablas1!$B$3:$C$22,2,0),"ERROR")</f>
        <v>ERROR</v>
      </c>
      <c r="H47" s="93" t="str">
        <f>IFERROR(VLOOKUP(F47,Tablas1!$H$2:$I$14,2,0),"ERROR")</f>
        <v>ERROR</v>
      </c>
      <c r="I47" s="92" t="s">
        <v>335</v>
      </c>
      <c r="J47" s="76" t="s">
        <v>200</v>
      </c>
      <c r="K47" s="76" t="s">
        <v>200</v>
      </c>
      <c r="L47" s="76" t="s">
        <v>200</v>
      </c>
      <c r="M47" s="76" t="s">
        <v>200</v>
      </c>
      <c r="N47" s="75" t="s">
        <v>373</v>
      </c>
      <c r="O47" s="75" t="str">
        <f>VLOOKUP(CONCATENATE(IF(J47="X",1,0),IF(K47="X",2,0),IF(L47="X",3,0),IF(M47="X",4,0)),Puntuaciones!$I$15:$N$67,6,0)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7" s="73"/>
      <c r="Q47" s="90"/>
      <c r="R47" s="90"/>
      <c r="S47" s="90"/>
      <c r="T47" s="90"/>
      <c r="U47" s="91"/>
      <c r="V47" s="77"/>
      <c r="W47" s="78"/>
      <c r="X47" s="79"/>
      <c r="AB47" s="23"/>
      <c r="AC47" s="23"/>
      <c r="AH47" s="3"/>
    </row>
    <row r="48" spans="2:34" s="21" customFormat="1" ht="94.5" customHeight="1" x14ac:dyDescent="0.3">
      <c r="B48" s="74"/>
      <c r="C48" s="74" t="s">
        <v>199</v>
      </c>
      <c r="D48" s="74" t="s">
        <v>342</v>
      </c>
      <c r="E48" s="74">
        <f t="shared" si="3"/>
        <v>42</v>
      </c>
      <c r="F48" s="74" t="s">
        <v>284</v>
      </c>
      <c r="G48" s="92" t="str">
        <f>IFERROR(VLOOKUP($C48,Tablas1!$B$3:$C$22,2,0),"ERROR")</f>
        <v>ERROR</v>
      </c>
      <c r="H48" s="93" t="str">
        <f>IFERROR(VLOOKUP(F48,Tablas1!$H$2:$I$14,2,0),"ERROR")</f>
        <v>ERROR</v>
      </c>
      <c r="I48" s="92" t="s">
        <v>336</v>
      </c>
      <c r="J48" s="76" t="s">
        <v>200</v>
      </c>
      <c r="K48" s="76" t="s">
        <v>200</v>
      </c>
      <c r="L48" s="76" t="s">
        <v>200</v>
      </c>
      <c r="M48" s="76" t="s">
        <v>200</v>
      </c>
      <c r="N48" s="75" t="s">
        <v>374</v>
      </c>
      <c r="O48" s="75" t="str">
        <f>VLOOKUP(CONCATENATE(IF(J48="X",1,0),IF(K48="X",2,0),IF(L48="X",3,0),IF(M48="X",4,0)),Puntuaciones!$I$15:$N$67,6,0)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48" s="73"/>
      <c r="Q48" s="90"/>
      <c r="R48" s="90"/>
      <c r="S48" s="90"/>
      <c r="T48" s="90"/>
      <c r="U48" s="91"/>
      <c r="V48" s="77"/>
      <c r="W48" s="78"/>
      <c r="X48" s="79"/>
      <c r="AB48" s="23"/>
      <c r="AC48" s="23"/>
      <c r="AH48" s="3"/>
    </row>
    <row r="49" spans="2:34" s="21" customFormat="1" ht="94.5" customHeight="1" x14ac:dyDescent="0.3">
      <c r="B49" s="74"/>
      <c r="C49" s="74" t="s">
        <v>199</v>
      </c>
      <c r="D49" s="74" t="s">
        <v>342</v>
      </c>
      <c r="E49" s="74">
        <f t="shared" si="3"/>
        <v>43</v>
      </c>
      <c r="F49" s="74" t="s">
        <v>284</v>
      </c>
      <c r="G49" s="92" t="str">
        <f>IFERROR(VLOOKUP($C49,Tablas1!$B$3:$C$22,2,0),"ERROR")</f>
        <v>ERROR</v>
      </c>
      <c r="H49" s="93" t="str">
        <f>IFERROR(VLOOKUP(F49,Tablas1!$H$2:$I$14,2,0),"ERROR")</f>
        <v>ERROR</v>
      </c>
      <c r="I49" s="92" t="s">
        <v>337</v>
      </c>
      <c r="J49" s="76"/>
      <c r="K49" s="76"/>
      <c r="L49" s="76"/>
      <c r="M49" s="76" t="s">
        <v>200</v>
      </c>
      <c r="N49" s="75" t="s">
        <v>373</v>
      </c>
      <c r="O49" s="75" t="str">
        <f>VLOOKUP(CONCATENATE(IF(J49="X",1,0),IF(K49="X",2,0),IF(L49="X",3,0),IF(M49="X",4,0)),Puntuaciones!$I$15:$N$67,6,0)</f>
        <v>Mayor exposición de la Lotería al riesgo de LA/FT/FPADM.
Deterioro de los procesos operativos.</v>
      </c>
      <c r="P49" s="73"/>
      <c r="Q49" s="90"/>
      <c r="R49" s="90"/>
      <c r="S49" s="90"/>
      <c r="T49" s="90"/>
      <c r="U49" s="91"/>
      <c r="V49" s="77"/>
      <c r="W49" s="78"/>
      <c r="X49" s="79"/>
      <c r="AB49" s="23"/>
      <c r="AC49" s="23"/>
      <c r="AH49" s="3"/>
    </row>
    <row r="50" spans="2:34" s="21" customFormat="1" ht="94.5" customHeight="1" x14ac:dyDescent="0.3">
      <c r="B50" s="74"/>
      <c r="C50" s="74" t="s">
        <v>199</v>
      </c>
      <c r="D50" s="74" t="s">
        <v>342</v>
      </c>
      <c r="E50" s="74">
        <f t="shared" si="3"/>
        <v>44</v>
      </c>
      <c r="F50" s="74" t="s">
        <v>284</v>
      </c>
      <c r="G50" s="92" t="str">
        <f>IFERROR(VLOOKUP($C50,Tablas1!$B$3:$C$22,2,0),"ERROR")</f>
        <v>ERROR</v>
      </c>
      <c r="H50" s="93" t="str">
        <f>IFERROR(VLOOKUP(F50,Tablas1!$H$2:$I$14,2,0),"ERROR")</f>
        <v>ERROR</v>
      </c>
      <c r="I50" s="75" t="s">
        <v>331</v>
      </c>
      <c r="J50" s="76"/>
      <c r="K50" s="76" t="s">
        <v>200</v>
      </c>
      <c r="L50" s="76" t="s">
        <v>200</v>
      </c>
      <c r="M50" s="76" t="s">
        <v>200</v>
      </c>
      <c r="N50" s="75" t="s">
        <v>373</v>
      </c>
      <c r="O50" s="75" t="str">
        <f>VLOOKUP(CONCATENATE(IF(J50="X",1,0),IF(K50="X",2,0),IF(L50="X",3,0),IF(M50="X",4,0)),Puntuaciones!$I$15:$N$67,6,0)</f>
        <v>Mayor exposición de la Lotería al riesgo de LA/FT/FPADM.
Deterioro de los procesos operativos.
Pérdida de reputación.
Procesos judiciales, disciplinarios y/o legales.
Sanciones del supervisor, regulador y/o entes de control.
Pérdida de mercado.</v>
      </c>
      <c r="P50" s="73"/>
      <c r="Q50" s="90"/>
      <c r="R50" s="90"/>
      <c r="S50" s="90"/>
      <c r="T50" s="90"/>
      <c r="U50" s="91"/>
      <c r="V50" s="77"/>
      <c r="W50" s="78"/>
      <c r="X50" s="79"/>
      <c r="AB50" s="23"/>
      <c r="AC50" s="23"/>
      <c r="AH50" s="3"/>
    </row>
    <row r="51" spans="2:34" s="21" customFormat="1" ht="94.5" customHeight="1" x14ac:dyDescent="0.3">
      <c r="B51" s="74"/>
      <c r="C51" s="74" t="s">
        <v>199</v>
      </c>
      <c r="D51" s="74" t="s">
        <v>342</v>
      </c>
      <c r="E51" s="74">
        <f t="shared" si="3"/>
        <v>45</v>
      </c>
      <c r="F51" s="74" t="s">
        <v>284</v>
      </c>
      <c r="G51" s="92" t="str">
        <f>IFERROR(VLOOKUP($C51,Tablas1!$B$3:$C$22,2,0),"ERROR")</f>
        <v>ERROR</v>
      </c>
      <c r="H51" s="93" t="str">
        <f>IFERROR(VLOOKUP(F51,Tablas1!$H$2:$I$14,2,0),"ERROR")</f>
        <v>ERROR</v>
      </c>
      <c r="I51" s="75" t="s">
        <v>343</v>
      </c>
      <c r="J51" s="76" t="s">
        <v>200</v>
      </c>
      <c r="K51" s="76" t="s">
        <v>200</v>
      </c>
      <c r="L51" s="76" t="s">
        <v>200</v>
      </c>
      <c r="M51" s="76" t="s">
        <v>200</v>
      </c>
      <c r="N51" s="75" t="s">
        <v>349</v>
      </c>
      <c r="O51" s="75" t="str">
        <f>VLOOKUP(CONCATENATE(IF(J51="X",1,0),IF(K51="X",2,0),IF(L51="X",3,0),IF(M51="X",4,0)),Puntuaciones!$I$15:$N$67,6,0)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1" s="73"/>
      <c r="Q51" s="90"/>
      <c r="R51" s="90"/>
      <c r="S51" s="90"/>
      <c r="T51" s="90"/>
      <c r="U51" s="91"/>
      <c r="V51" s="77"/>
      <c r="W51" s="78"/>
      <c r="X51" s="79"/>
      <c r="AB51" s="23"/>
      <c r="AC51" s="23"/>
      <c r="AH51" s="3"/>
    </row>
    <row r="52" spans="2:34" s="21" customFormat="1" ht="94.5" customHeight="1" x14ac:dyDescent="0.3">
      <c r="B52" s="74"/>
      <c r="C52" s="74" t="s">
        <v>199</v>
      </c>
      <c r="D52" s="74" t="s">
        <v>342</v>
      </c>
      <c r="E52" s="74">
        <f t="shared" si="3"/>
        <v>46</v>
      </c>
      <c r="F52" s="74" t="s">
        <v>284</v>
      </c>
      <c r="G52" s="92" t="str">
        <f>IFERROR(VLOOKUP($C52,Tablas1!$B$3:$C$22,2,0),"ERROR")</f>
        <v>ERROR</v>
      </c>
      <c r="H52" s="93" t="str">
        <f>IFERROR(VLOOKUP(F52,Tablas1!$H$2:$I$14,2,0),"ERROR")</f>
        <v>ERROR</v>
      </c>
      <c r="I52" s="75" t="s">
        <v>344</v>
      </c>
      <c r="J52" s="76" t="s">
        <v>200</v>
      </c>
      <c r="K52" s="76" t="s">
        <v>200</v>
      </c>
      <c r="L52" s="76" t="s">
        <v>200</v>
      </c>
      <c r="M52" s="76" t="s">
        <v>200</v>
      </c>
      <c r="N52" s="75" t="s">
        <v>349</v>
      </c>
      <c r="O52" s="75" t="str">
        <f>VLOOKUP(CONCATENATE(IF(J52="X",1,0),IF(K52="X",2,0),IF(L52="X",3,0),IF(M52="X",4,0)),Puntuaciones!$I$15:$N$67,6,0)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2" s="73"/>
      <c r="Q52" s="90"/>
      <c r="R52" s="90"/>
      <c r="S52" s="90"/>
      <c r="T52" s="90"/>
      <c r="U52" s="91"/>
      <c r="V52" s="77"/>
      <c r="W52" s="78"/>
      <c r="X52" s="79"/>
      <c r="AB52" s="23"/>
      <c r="AC52" s="23"/>
      <c r="AH52" s="3"/>
    </row>
    <row r="53" spans="2:34" s="21" customFormat="1" ht="94.5" customHeight="1" x14ac:dyDescent="0.3">
      <c r="B53" s="74"/>
      <c r="C53" s="74" t="s">
        <v>199</v>
      </c>
      <c r="D53" s="74" t="s">
        <v>342</v>
      </c>
      <c r="E53" s="74">
        <f t="shared" si="3"/>
        <v>47</v>
      </c>
      <c r="F53" s="74" t="s">
        <v>284</v>
      </c>
      <c r="G53" s="92" t="str">
        <f>IFERROR(VLOOKUP($C53,Tablas1!$B$3:$C$22,2,0),"ERROR")</f>
        <v>ERROR</v>
      </c>
      <c r="H53" s="93" t="str">
        <f>IFERROR(VLOOKUP(F53,Tablas1!$H$2:$I$14,2,0),"ERROR")</f>
        <v>ERROR</v>
      </c>
      <c r="I53" s="75" t="s">
        <v>345</v>
      </c>
      <c r="J53" s="76"/>
      <c r="K53" s="76" t="s">
        <v>200</v>
      </c>
      <c r="L53" s="76" t="s">
        <v>200</v>
      </c>
      <c r="M53" s="76" t="s">
        <v>200</v>
      </c>
      <c r="N53" s="74" t="s">
        <v>219</v>
      </c>
      <c r="O53" s="75" t="str">
        <f>VLOOKUP(CONCATENATE(IF(J53="X",1,0),IF(K53="X",2,0),IF(L53="X",3,0),IF(M53="X",4,0)),Puntuaciones!$I$15:$N$67,6,0)</f>
        <v>Mayor exposición de la Lotería al riesgo de LA/FT/FPADM.
Deterioro de los procesos operativos.
Pérdida de reputación.
Procesos judiciales, disciplinarios y/o legales.
Sanciones del supervisor, regulador y/o entes de control.
Pérdida de mercado.</v>
      </c>
      <c r="P53" s="73"/>
      <c r="Q53" s="90"/>
      <c r="R53" s="90"/>
      <c r="S53" s="90"/>
      <c r="T53" s="90"/>
      <c r="U53" s="91"/>
      <c r="V53" s="77"/>
      <c r="W53" s="78"/>
      <c r="X53" s="79"/>
      <c r="AB53" s="23"/>
      <c r="AC53" s="23"/>
      <c r="AH53" s="3"/>
    </row>
    <row r="54" spans="2:34" s="21" customFormat="1" ht="93.75" customHeight="1" x14ac:dyDescent="0.3">
      <c r="B54" s="74"/>
      <c r="C54" s="74" t="s">
        <v>199</v>
      </c>
      <c r="D54" s="74" t="s">
        <v>262</v>
      </c>
      <c r="E54" s="74">
        <f t="shared" si="3"/>
        <v>48</v>
      </c>
      <c r="F54" s="74" t="s">
        <v>284</v>
      </c>
      <c r="G54" s="92" t="str">
        <f>IFERROR(VLOOKUP($C54,Tablas1!$B$3:$C$22,2,0),"ERROR")</f>
        <v>ERROR</v>
      </c>
      <c r="H54" s="93" t="str">
        <f>IFERROR(VLOOKUP(F54,Tablas1!$H$2:$I$14,2,0),"ERROR")</f>
        <v>ERROR</v>
      </c>
      <c r="I54" s="75" t="s">
        <v>346</v>
      </c>
      <c r="J54" s="76" t="s">
        <v>200</v>
      </c>
      <c r="K54" s="76" t="s">
        <v>200</v>
      </c>
      <c r="L54" s="76" t="s">
        <v>200</v>
      </c>
      <c r="M54" s="76" t="s">
        <v>200</v>
      </c>
      <c r="N54" s="75" t="s">
        <v>218</v>
      </c>
      <c r="O54" s="75" t="str">
        <f>VLOOKUP(CONCATENATE(IF(J54="X",1,0),IF(K54="X",2,0),IF(L54="X",3,0),IF(M54="X",4,0)),Puntuaciones!$I$15:$N$67,6,0)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4" s="73"/>
      <c r="Q54" s="90"/>
      <c r="R54" s="90"/>
      <c r="S54" s="90"/>
      <c r="T54" s="90"/>
      <c r="U54" s="91"/>
      <c r="V54" s="77"/>
      <c r="W54" s="78" t="str">
        <f t="shared" si="1"/>
        <v/>
      </c>
      <c r="X54" s="79" t="str">
        <f t="shared" ref="X54" si="4">IFERROR(VLOOKUP(W54,RIEGO,2,FALSE),"")</f>
        <v/>
      </c>
      <c r="AB54" s="23"/>
      <c r="AC54" s="23"/>
      <c r="AH54" s="3"/>
    </row>
    <row r="55" spans="2:34" s="21" customFormat="1" ht="98.25" customHeight="1" x14ac:dyDescent="0.3">
      <c r="B55" s="74"/>
      <c r="C55" s="74" t="s">
        <v>199</v>
      </c>
      <c r="D55" s="74" t="s">
        <v>263</v>
      </c>
      <c r="E55" s="74">
        <f t="shared" si="3"/>
        <v>49</v>
      </c>
      <c r="F55" s="74" t="s">
        <v>284</v>
      </c>
      <c r="G55" s="92" t="str">
        <f>IFERROR(VLOOKUP($C55,Tablas1!$B$3:$C$22,2,0),"ERROR")</f>
        <v>ERROR</v>
      </c>
      <c r="H55" s="93" t="str">
        <f>IFERROR(VLOOKUP(F55,Tablas1!$H$2:$I$14,2,0),"ERROR")</f>
        <v>ERROR</v>
      </c>
      <c r="I55" s="92" t="s">
        <v>347</v>
      </c>
      <c r="J55" s="76" t="s">
        <v>200</v>
      </c>
      <c r="K55" s="76" t="s">
        <v>200</v>
      </c>
      <c r="L55" s="76" t="s">
        <v>200</v>
      </c>
      <c r="M55" s="76" t="s">
        <v>200</v>
      </c>
      <c r="N55" s="75" t="s">
        <v>319</v>
      </c>
      <c r="O55" s="75" t="str">
        <f>VLOOKUP(CONCATENATE(IF(J55="X",1,0),IF(K55="X",2,0),IF(L55="X",3,0),IF(M55="X",4,0)),Puntuaciones!$I$15:$N$67,6,0)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5" s="73"/>
      <c r="Q55" s="90"/>
      <c r="R55" s="90"/>
      <c r="S55" s="90"/>
      <c r="T55" s="90"/>
      <c r="U55" s="91"/>
      <c r="V55" s="77"/>
      <c r="W55" s="78"/>
      <c r="X55" s="79"/>
      <c r="AB55" s="23"/>
      <c r="AC55" s="23"/>
      <c r="AH55" s="3"/>
    </row>
    <row r="56" spans="2:34" s="21" customFormat="1" ht="98.25" customHeight="1" x14ac:dyDescent="0.3">
      <c r="B56" s="74"/>
      <c r="C56" s="74" t="s">
        <v>227</v>
      </c>
      <c r="D56" s="74" t="s">
        <v>227</v>
      </c>
      <c r="E56" s="74">
        <f t="shared" si="3"/>
        <v>50</v>
      </c>
      <c r="F56" s="74" t="s">
        <v>242</v>
      </c>
      <c r="G56" s="92" t="str">
        <f>IFERROR(VLOOKUP($C56,Tablas1!$B$3:$C$22,2,0),"ERROR")</f>
        <v>ERROR</v>
      </c>
      <c r="H56" s="93" t="str">
        <f>IFERROR(VLOOKUP(F56,Tablas1!$H$2:$I$14,2,0),"ERROR")</f>
        <v>FAC5</v>
      </c>
      <c r="I56" s="75" t="s">
        <v>352</v>
      </c>
      <c r="J56" s="76" t="s">
        <v>200</v>
      </c>
      <c r="K56" s="76" t="s">
        <v>200</v>
      </c>
      <c r="L56" s="76" t="s">
        <v>200</v>
      </c>
      <c r="M56" s="76" t="s">
        <v>200</v>
      </c>
      <c r="N56" s="74" t="s">
        <v>375</v>
      </c>
      <c r="O56" s="75" t="str">
        <f>VLOOKUP(CONCATENATE(IF(J56="X",1,0),IF(K56="X",2,0),IF(L56="X",3,0),IF(M56="X",4,0)),Puntuaciones!$I$15:$N$67,6,0)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6" s="73">
        <v>4</v>
      </c>
      <c r="Q56" s="90">
        <v>4</v>
      </c>
      <c r="R56" s="90"/>
      <c r="S56" s="90"/>
      <c r="T56" s="90"/>
      <c r="U56" s="91"/>
      <c r="V56" s="77"/>
      <c r="W56" s="78"/>
      <c r="X56" s="79"/>
      <c r="AB56" s="23"/>
      <c r="AC56" s="23"/>
      <c r="AH56" s="3"/>
    </row>
    <row r="57" spans="2:34" s="21" customFormat="1" ht="98.25" customHeight="1" x14ac:dyDescent="0.3">
      <c r="B57" s="74"/>
      <c r="C57" s="74" t="s">
        <v>227</v>
      </c>
      <c r="D57" s="74" t="s">
        <v>227</v>
      </c>
      <c r="E57" s="74">
        <f t="shared" si="3"/>
        <v>51</v>
      </c>
      <c r="F57" s="74" t="s">
        <v>240</v>
      </c>
      <c r="G57" s="92" t="str">
        <f>IFERROR(VLOOKUP($C57,Tablas1!$B$3:$C$22,2,0),"ERROR")</f>
        <v>ERROR</v>
      </c>
      <c r="H57" s="93" t="str">
        <f>IFERROR(VLOOKUP(F57,Tablas1!$H$2:$I$14,2,0),"ERROR")</f>
        <v>ERROR</v>
      </c>
      <c r="I57" s="75" t="s">
        <v>352</v>
      </c>
      <c r="J57" s="76" t="s">
        <v>200</v>
      </c>
      <c r="K57" s="76" t="s">
        <v>200</v>
      </c>
      <c r="L57" s="76" t="s">
        <v>200</v>
      </c>
      <c r="M57" s="76" t="s">
        <v>200</v>
      </c>
      <c r="N57" s="74" t="s">
        <v>375</v>
      </c>
      <c r="O57" s="75" t="str">
        <f>VLOOKUP(CONCATENATE(IF(J57="X",1,0),IF(K57="X",2,0),IF(L57="X",3,0),IF(M57="X",4,0)),Puntuaciones!$I$15:$N$67,6,0)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7" s="73"/>
      <c r="Q57" s="90"/>
      <c r="R57" s="90"/>
      <c r="S57" s="90"/>
      <c r="T57" s="90"/>
      <c r="U57" s="91"/>
      <c r="V57" s="77"/>
      <c r="W57" s="78"/>
      <c r="X57" s="79"/>
      <c r="AB57" s="23"/>
      <c r="AC57" s="23"/>
      <c r="AH57" s="3"/>
    </row>
    <row r="58" spans="2:34" s="21" customFormat="1" ht="98.25" customHeight="1" x14ac:dyDescent="0.3">
      <c r="B58" s="74"/>
      <c r="C58" s="74" t="s">
        <v>227</v>
      </c>
      <c r="D58" s="74" t="s">
        <v>227</v>
      </c>
      <c r="E58" s="74">
        <f t="shared" si="3"/>
        <v>52</v>
      </c>
      <c r="F58" s="74" t="s">
        <v>284</v>
      </c>
      <c r="G58" s="92" t="str">
        <f>IFERROR(VLOOKUP($C58,Tablas1!$B$3:$C$22,2,0),"ERROR")</f>
        <v>ERROR</v>
      </c>
      <c r="H58" s="93" t="str">
        <f>IFERROR(VLOOKUP(F58,Tablas1!$H$2:$I$14,2,0),"ERROR")</f>
        <v>ERROR</v>
      </c>
      <c r="I58" s="75" t="s">
        <v>352</v>
      </c>
      <c r="J58" s="76" t="s">
        <v>200</v>
      </c>
      <c r="K58" s="76" t="s">
        <v>200</v>
      </c>
      <c r="L58" s="76" t="s">
        <v>200</v>
      </c>
      <c r="M58" s="76" t="s">
        <v>200</v>
      </c>
      <c r="N58" s="74" t="s">
        <v>375</v>
      </c>
      <c r="O58" s="75" t="str">
        <f>VLOOKUP(CONCATENATE(IF(J58="X",1,0),IF(K58="X",2,0),IF(L58="X",3,0),IF(M58="X",4,0)),Puntuaciones!$I$15:$N$67,6,0)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8" s="73"/>
      <c r="Q58" s="90"/>
      <c r="R58" s="90"/>
      <c r="S58" s="90"/>
      <c r="T58" s="90"/>
      <c r="U58" s="91"/>
      <c r="V58" s="77"/>
      <c r="W58" s="78"/>
      <c r="X58" s="79"/>
      <c r="AB58" s="23"/>
      <c r="AC58" s="23"/>
      <c r="AH58" s="3"/>
    </row>
    <row r="59" spans="2:34" s="21" customFormat="1" ht="98.25" customHeight="1" x14ac:dyDescent="0.3">
      <c r="B59" s="74"/>
      <c r="C59" s="74" t="s">
        <v>227</v>
      </c>
      <c r="D59" s="74" t="s">
        <v>227</v>
      </c>
      <c r="E59" s="74">
        <f t="shared" si="3"/>
        <v>53</v>
      </c>
      <c r="F59" s="74" t="s">
        <v>241</v>
      </c>
      <c r="G59" s="92" t="str">
        <f>IFERROR(VLOOKUP($C59,Tablas1!$B$3:$C$22,2,0),"ERROR")</f>
        <v>ERROR</v>
      </c>
      <c r="H59" s="93" t="str">
        <f>IFERROR(VLOOKUP(F59,Tablas1!$H$2:$I$14,2,0),"ERROR")</f>
        <v>ERROR</v>
      </c>
      <c r="I59" s="75" t="s">
        <v>352</v>
      </c>
      <c r="J59" s="76" t="s">
        <v>200</v>
      </c>
      <c r="K59" s="76" t="s">
        <v>200</v>
      </c>
      <c r="L59" s="76" t="s">
        <v>200</v>
      </c>
      <c r="M59" s="76" t="s">
        <v>200</v>
      </c>
      <c r="N59" s="74" t="s">
        <v>375</v>
      </c>
      <c r="O59" s="75" t="str">
        <f>VLOOKUP(CONCATENATE(IF(J59="X",1,0),IF(K59="X",2,0),IF(L59="X",3,0),IF(M59="X",4,0)),Puntuaciones!$I$15:$N$67,6,0)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59" s="73"/>
      <c r="Q59" s="90"/>
      <c r="R59" s="90"/>
      <c r="S59" s="90"/>
      <c r="T59" s="90"/>
      <c r="U59" s="91"/>
      <c r="V59" s="77"/>
      <c r="W59" s="78"/>
      <c r="X59" s="79"/>
      <c r="AB59" s="23"/>
      <c r="AC59" s="23"/>
      <c r="AH59" s="3"/>
    </row>
    <row r="60" spans="2:34" s="21" customFormat="1" ht="98.25" customHeight="1" x14ac:dyDescent="0.3">
      <c r="B60" s="74"/>
      <c r="C60" s="74" t="s">
        <v>227</v>
      </c>
      <c r="D60" s="74" t="s">
        <v>264</v>
      </c>
      <c r="E60" s="74">
        <f t="shared" si="3"/>
        <v>54</v>
      </c>
      <c r="F60" s="74" t="s">
        <v>284</v>
      </c>
      <c r="G60" s="92" t="str">
        <f>IFERROR(VLOOKUP($C60,Tablas1!$B$3:$C$22,2,0),"ERROR")</f>
        <v>ERROR</v>
      </c>
      <c r="H60" s="93" t="str">
        <f>IFERROR(VLOOKUP(F60,Tablas1!$H$2:$I$14,2,0),"ERROR")</f>
        <v>ERROR</v>
      </c>
      <c r="I60" s="75" t="s">
        <v>353</v>
      </c>
      <c r="J60" s="76"/>
      <c r="K60" s="76" t="s">
        <v>200</v>
      </c>
      <c r="L60" s="76" t="s">
        <v>200</v>
      </c>
      <c r="M60" s="76" t="s">
        <v>200</v>
      </c>
      <c r="N60" s="74" t="s">
        <v>376</v>
      </c>
      <c r="O60" s="75" t="str">
        <f>VLOOKUP(CONCATENATE(IF(J60="X",1,0),IF(K60="X",2,0),IF(L60="X",3,0),IF(M60="X",4,0)),Puntuaciones!$I$15:$N$67,6,0)</f>
        <v>Mayor exposición de la Lotería al riesgo de LA/FT/FPADM.
Deterioro de los procesos operativos.
Pérdida de reputación.
Procesos judiciales, disciplinarios y/o legales.
Sanciones del supervisor, regulador y/o entes de control.
Pérdida de mercado.</v>
      </c>
      <c r="P60" s="73"/>
      <c r="Q60" s="90"/>
      <c r="R60" s="90"/>
      <c r="S60" s="90"/>
      <c r="T60" s="90"/>
      <c r="U60" s="91"/>
      <c r="V60" s="77"/>
      <c r="W60" s="78"/>
      <c r="X60" s="79"/>
      <c r="AB60" s="23"/>
      <c r="AC60" s="23"/>
      <c r="AH60" s="3"/>
    </row>
    <row r="61" spans="2:34" s="21" customFormat="1" ht="98.25" customHeight="1" x14ac:dyDescent="0.3">
      <c r="B61" s="74"/>
      <c r="C61" s="74" t="s">
        <v>227</v>
      </c>
      <c r="D61" s="74" t="s">
        <v>265</v>
      </c>
      <c r="E61" s="74">
        <f t="shared" si="3"/>
        <v>55</v>
      </c>
      <c r="F61" s="74" t="s">
        <v>242</v>
      </c>
      <c r="G61" s="92" t="str">
        <f>IFERROR(VLOOKUP($C61,Tablas1!$B$3:$C$22,2,0),"ERROR")</f>
        <v>ERROR</v>
      </c>
      <c r="H61" s="93" t="str">
        <f>IFERROR(VLOOKUP(F61,Tablas1!$H$2:$I$14,2,0),"ERROR")</f>
        <v>FAC5</v>
      </c>
      <c r="I61" s="75" t="s">
        <v>351</v>
      </c>
      <c r="J61" s="76"/>
      <c r="K61" s="76" t="s">
        <v>200</v>
      </c>
      <c r="L61" s="76" t="s">
        <v>200</v>
      </c>
      <c r="M61" s="76" t="s">
        <v>200</v>
      </c>
      <c r="N61" s="74" t="s">
        <v>377</v>
      </c>
      <c r="O61" s="75" t="str">
        <f>VLOOKUP(CONCATENATE(IF(J61="X",1,0),IF(K61="X",2,0),IF(L61="X",3,0),IF(M61="X",4,0)),Puntuaciones!$I$15:$N$67,6,0)</f>
        <v>Mayor exposición de la Lotería al riesgo de LA/FT/FPADM.
Deterioro de los procesos operativos.
Pérdida de reputación.
Procesos judiciales, disciplinarios y/o legales.
Sanciones del supervisor, regulador y/o entes de control.
Pérdida de mercado.</v>
      </c>
      <c r="P61" s="73"/>
      <c r="Q61" s="90"/>
      <c r="R61" s="90"/>
      <c r="S61" s="90"/>
      <c r="T61" s="90"/>
      <c r="U61" s="91"/>
      <c r="V61" s="77"/>
      <c r="W61" s="78"/>
      <c r="X61" s="79"/>
      <c r="AB61" s="23"/>
      <c r="AC61" s="23"/>
      <c r="AH61" s="3"/>
    </row>
    <row r="62" spans="2:34" s="21" customFormat="1" ht="98.25" customHeight="1" x14ac:dyDescent="0.3">
      <c r="B62" s="74"/>
      <c r="C62" s="74" t="s">
        <v>227</v>
      </c>
      <c r="D62" s="74" t="s">
        <v>265</v>
      </c>
      <c r="E62" s="74">
        <f t="shared" si="3"/>
        <v>56</v>
      </c>
      <c r="F62" s="74" t="s">
        <v>240</v>
      </c>
      <c r="G62" s="92" t="str">
        <f>IFERROR(VLOOKUP($C62,Tablas1!$B$3:$C$22,2,0),"ERROR")</f>
        <v>ERROR</v>
      </c>
      <c r="H62" s="93" t="str">
        <f>IFERROR(VLOOKUP(F62,Tablas1!$H$2:$I$14,2,0),"ERROR")</f>
        <v>ERROR</v>
      </c>
      <c r="I62" s="75" t="s">
        <v>351</v>
      </c>
      <c r="J62" s="76"/>
      <c r="K62" s="76" t="s">
        <v>200</v>
      </c>
      <c r="L62" s="76" t="s">
        <v>200</v>
      </c>
      <c r="M62" s="76" t="s">
        <v>200</v>
      </c>
      <c r="N62" s="74" t="s">
        <v>377</v>
      </c>
      <c r="O62" s="75" t="str">
        <f>VLOOKUP(CONCATENATE(IF(J62="X",1,0),IF(K62="X",2,0),IF(L62="X",3,0),IF(M62="X",4,0)),Puntuaciones!$I$15:$N$67,6,0)</f>
        <v>Mayor exposición de la Lotería al riesgo de LA/FT/FPADM.
Deterioro de los procesos operativos.
Pérdida de reputación.
Procesos judiciales, disciplinarios y/o legales.
Sanciones del supervisor, regulador y/o entes de control.
Pérdida de mercado.</v>
      </c>
      <c r="P62" s="73"/>
      <c r="Q62" s="90"/>
      <c r="R62" s="90"/>
      <c r="S62" s="90"/>
      <c r="T62" s="90"/>
      <c r="U62" s="91"/>
      <c r="V62" s="77"/>
      <c r="W62" s="78"/>
      <c r="X62" s="79"/>
      <c r="AB62" s="23"/>
      <c r="AC62" s="23"/>
      <c r="AH62" s="3"/>
    </row>
    <row r="63" spans="2:34" s="21" customFormat="1" ht="98.25" customHeight="1" x14ac:dyDescent="0.3">
      <c r="B63" s="74"/>
      <c r="C63" s="74" t="s">
        <v>227</v>
      </c>
      <c r="D63" s="74" t="s">
        <v>265</v>
      </c>
      <c r="E63" s="74">
        <f t="shared" si="3"/>
        <v>57</v>
      </c>
      <c r="F63" s="74" t="s">
        <v>284</v>
      </c>
      <c r="G63" s="92" t="str">
        <f>IFERROR(VLOOKUP($C63,Tablas1!$B$3:$C$22,2,0),"ERROR")</f>
        <v>ERROR</v>
      </c>
      <c r="H63" s="93" t="str">
        <f>IFERROR(VLOOKUP(F63,Tablas1!$H$2:$I$14,2,0),"ERROR")</f>
        <v>ERROR</v>
      </c>
      <c r="I63" s="75" t="s">
        <v>351</v>
      </c>
      <c r="J63" s="76"/>
      <c r="K63" s="76" t="s">
        <v>200</v>
      </c>
      <c r="L63" s="76" t="s">
        <v>200</v>
      </c>
      <c r="M63" s="76" t="s">
        <v>200</v>
      </c>
      <c r="N63" s="74" t="s">
        <v>377</v>
      </c>
      <c r="O63" s="75" t="str">
        <f>VLOOKUP(CONCATENATE(IF(J63="X",1,0),IF(K63="X",2,0),IF(L63="X",3,0),IF(M63="X",4,0)),Puntuaciones!$I$15:$N$67,6,0)</f>
        <v>Mayor exposición de la Lotería al riesgo de LA/FT/FPADM.
Deterioro de los procesos operativos.
Pérdida de reputación.
Procesos judiciales, disciplinarios y/o legales.
Sanciones del supervisor, regulador y/o entes de control.
Pérdida de mercado.</v>
      </c>
      <c r="P63" s="73"/>
      <c r="Q63" s="90"/>
      <c r="R63" s="90"/>
      <c r="S63" s="90"/>
      <c r="T63" s="90"/>
      <c r="U63" s="91"/>
      <c r="V63" s="77"/>
      <c r="W63" s="78"/>
      <c r="X63" s="79"/>
      <c r="AB63" s="23"/>
      <c r="AC63" s="23"/>
      <c r="AH63" s="3"/>
    </row>
    <row r="64" spans="2:34" s="21" customFormat="1" ht="98.25" customHeight="1" x14ac:dyDescent="0.3">
      <c r="B64" s="74"/>
      <c r="C64" s="74" t="s">
        <v>227</v>
      </c>
      <c r="D64" s="74" t="s">
        <v>265</v>
      </c>
      <c r="E64" s="74">
        <f t="shared" si="3"/>
        <v>58</v>
      </c>
      <c r="F64" s="74" t="s">
        <v>241</v>
      </c>
      <c r="G64" s="92" t="str">
        <f>IFERROR(VLOOKUP($C64,Tablas1!$B$3:$C$22,2,0),"ERROR")</f>
        <v>ERROR</v>
      </c>
      <c r="H64" s="93" t="str">
        <f>IFERROR(VLOOKUP(F64,Tablas1!$H$2:$I$14,2,0),"ERROR")</f>
        <v>ERROR</v>
      </c>
      <c r="I64" s="75" t="s">
        <v>351</v>
      </c>
      <c r="J64" s="76"/>
      <c r="K64" s="76" t="s">
        <v>200</v>
      </c>
      <c r="L64" s="76" t="s">
        <v>200</v>
      </c>
      <c r="M64" s="76" t="s">
        <v>200</v>
      </c>
      <c r="N64" s="74" t="s">
        <v>377</v>
      </c>
      <c r="O64" s="75" t="str">
        <f>VLOOKUP(CONCATENATE(IF(J64="X",1,0),IF(K64="X",2,0),IF(L64="X",3,0),IF(M64="X",4,0)),Puntuaciones!$I$15:$N$67,6,0)</f>
        <v>Mayor exposición de la Lotería al riesgo de LA/FT/FPADM.
Deterioro de los procesos operativos.
Pérdida de reputación.
Procesos judiciales, disciplinarios y/o legales.
Sanciones del supervisor, regulador y/o entes de control.
Pérdida de mercado.</v>
      </c>
      <c r="P64" s="73"/>
      <c r="Q64" s="90"/>
      <c r="R64" s="90"/>
      <c r="S64" s="90"/>
      <c r="T64" s="90"/>
      <c r="U64" s="91"/>
      <c r="V64" s="77"/>
      <c r="W64" s="78"/>
      <c r="X64" s="79"/>
      <c r="AB64" s="23"/>
      <c r="AC64" s="23"/>
      <c r="AH64" s="3"/>
    </row>
    <row r="65" spans="2:34" s="21" customFormat="1" ht="98.25" customHeight="1" x14ac:dyDescent="0.3">
      <c r="B65" s="74"/>
      <c r="C65" s="74" t="s">
        <v>227</v>
      </c>
      <c r="D65" s="74" t="s">
        <v>266</v>
      </c>
      <c r="E65" s="74">
        <f t="shared" si="3"/>
        <v>59</v>
      </c>
      <c r="F65" s="74" t="s">
        <v>240</v>
      </c>
      <c r="G65" s="92" t="str">
        <f>IFERROR(VLOOKUP($C65,Tablas1!$B$3:$C$22,2,0),"ERROR")</f>
        <v>ERROR</v>
      </c>
      <c r="H65" s="93" t="str">
        <f>IFERROR(VLOOKUP(F65,Tablas1!$H$2:$I$14,2,0),"ERROR")</f>
        <v>ERROR</v>
      </c>
      <c r="I65" s="75" t="s">
        <v>354</v>
      </c>
      <c r="J65" s="76" t="s">
        <v>200</v>
      </c>
      <c r="K65" s="76" t="s">
        <v>200</v>
      </c>
      <c r="L65" s="76" t="s">
        <v>200</v>
      </c>
      <c r="M65" s="76" t="s">
        <v>200</v>
      </c>
      <c r="N65" s="74" t="s">
        <v>378</v>
      </c>
      <c r="O65" s="75" t="str">
        <f>VLOOKUP(CONCATENATE(IF(J65="X",1,0),IF(K65="X",2,0),IF(L65="X",3,0),IF(M65="X",4,0)),Puntuaciones!$I$15:$N$67,6,0)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65" s="73"/>
      <c r="Q65" s="90"/>
      <c r="R65" s="90"/>
      <c r="S65" s="90"/>
      <c r="T65" s="90"/>
      <c r="U65" s="91"/>
      <c r="V65" s="77"/>
      <c r="W65" s="78"/>
      <c r="X65" s="79"/>
      <c r="AB65" s="23"/>
      <c r="AC65" s="23"/>
      <c r="AH65" s="3"/>
    </row>
    <row r="66" spans="2:34" s="21" customFormat="1" ht="98.25" customHeight="1" x14ac:dyDescent="0.3">
      <c r="B66" s="74"/>
      <c r="C66" s="74" t="s">
        <v>231</v>
      </c>
      <c r="D66" s="74" t="s">
        <v>268</v>
      </c>
      <c r="E66" s="74">
        <f t="shared" si="3"/>
        <v>60</v>
      </c>
      <c r="F66" s="74" t="s">
        <v>284</v>
      </c>
      <c r="G66" s="93" t="str">
        <f>IFERROR(VLOOKUP($C66,Tablas1!$B$3:$C$21,2,0),"ERROR")</f>
        <v>ERROR</v>
      </c>
      <c r="H66" s="93" t="str">
        <f>IFERROR(VLOOKUP(F66,Tablas1!$H$2:$I$14,2,0),"ERROR")</f>
        <v>ERROR</v>
      </c>
      <c r="I66" s="75" t="s">
        <v>355</v>
      </c>
      <c r="J66" s="76"/>
      <c r="K66" s="76" t="s">
        <v>200</v>
      </c>
      <c r="L66" s="76"/>
      <c r="M66" s="76" t="s">
        <v>200</v>
      </c>
      <c r="N66" s="74" t="s">
        <v>379</v>
      </c>
      <c r="O66" s="75" t="str">
        <f>VLOOKUP(CONCATENATE(IF(J66="X",1,0),IF(K66="X",2,0),IF(L66="X",3,0),IF(M66="X",4,0)),Puntuaciones!$I$15:$N$67,6,0)</f>
        <v>Mayor exposición de la Lotería al riesgo de LA/FT/FPADM.
Deterioro de los procesos operativos.
Procesos judiciales, disciplinarios y/o legales.
Sanciones del supervisor, regulador y/o entes de control.</v>
      </c>
      <c r="P66" s="73"/>
      <c r="Q66" s="90"/>
      <c r="R66" s="90"/>
      <c r="S66" s="90"/>
      <c r="T66" s="90"/>
      <c r="U66" s="91"/>
      <c r="V66" s="77"/>
      <c r="W66" s="78"/>
      <c r="X66" s="79"/>
      <c r="AB66" s="23"/>
      <c r="AC66" s="23"/>
      <c r="AH66" s="3"/>
    </row>
    <row r="67" spans="2:34" s="21" customFormat="1" ht="98.25" customHeight="1" x14ac:dyDescent="0.3">
      <c r="B67" s="74"/>
      <c r="C67" s="74" t="s">
        <v>231</v>
      </c>
      <c r="D67" s="74" t="s">
        <v>267</v>
      </c>
      <c r="E67" s="74">
        <f t="shared" si="3"/>
        <v>61</v>
      </c>
      <c r="F67" s="74" t="s">
        <v>284</v>
      </c>
      <c r="G67" s="93" t="str">
        <f>IFERROR(VLOOKUP($C67,Tablas1!$B$3:$C$21,2,0),"ERROR")</f>
        <v>ERROR</v>
      </c>
      <c r="H67" s="93" t="str">
        <f>IFERROR(VLOOKUP(F67,Tablas1!$H$2:$I$14,2,0),"ERROR")</f>
        <v>ERROR</v>
      </c>
      <c r="I67" s="75" t="s">
        <v>356</v>
      </c>
      <c r="J67" s="76"/>
      <c r="K67" s="76" t="s">
        <v>200</v>
      </c>
      <c r="L67" s="76"/>
      <c r="M67" s="76" t="s">
        <v>200</v>
      </c>
      <c r="N67" s="74" t="s">
        <v>379</v>
      </c>
      <c r="O67" s="75" t="str">
        <f>VLOOKUP(CONCATENATE(IF(J67="X",1,0),IF(K67="X",2,0),IF(L67="X",3,0),IF(M67="X",4,0)),Puntuaciones!$I$15:$N$67,6,0)</f>
        <v>Mayor exposición de la Lotería al riesgo de LA/FT/FPADM.
Deterioro de los procesos operativos.
Procesos judiciales, disciplinarios y/o legales.
Sanciones del supervisor, regulador y/o entes de control.</v>
      </c>
      <c r="P67" s="73"/>
      <c r="Q67" s="90"/>
      <c r="R67" s="90"/>
      <c r="S67" s="90"/>
      <c r="T67" s="90"/>
      <c r="U67" s="91"/>
      <c r="V67" s="77"/>
      <c r="W67" s="78"/>
      <c r="X67" s="79"/>
      <c r="AB67" s="23"/>
      <c r="AC67" s="23"/>
      <c r="AH67" s="3"/>
    </row>
    <row r="68" spans="2:34" s="21" customFormat="1" ht="98.25" customHeight="1" x14ac:dyDescent="0.3">
      <c r="B68" s="74"/>
      <c r="C68" s="74" t="s">
        <v>269</v>
      </c>
      <c r="D68" s="74" t="s">
        <v>270</v>
      </c>
      <c r="E68" s="74">
        <f t="shared" si="3"/>
        <v>62</v>
      </c>
      <c r="F68" s="74" t="s">
        <v>242</v>
      </c>
      <c r="G68" s="93" t="str">
        <f>IFERROR(VLOOKUP($C68,Tablas1!$B$3:$C$21,2,0),"ERROR")</f>
        <v>ERROR</v>
      </c>
      <c r="H68" s="93" t="str">
        <f>IFERROR(VLOOKUP(F68,Tablas1!$H$2:$I$14,2,0),"ERROR")</f>
        <v>FAC5</v>
      </c>
      <c r="I68" s="75" t="s">
        <v>358</v>
      </c>
      <c r="J68" s="76"/>
      <c r="K68" s="76" t="s">
        <v>200</v>
      </c>
      <c r="L68" s="76" t="s">
        <v>200</v>
      </c>
      <c r="M68" s="76" t="s">
        <v>200</v>
      </c>
      <c r="N68" s="75" t="s">
        <v>380</v>
      </c>
      <c r="O68" s="75" t="str">
        <f>VLOOKUP(CONCATENATE(IF(J68="X",1,0),IF(K68="X",2,0),IF(L68="X",3,0),IF(M68="X",4,0)),Puntuaciones!$I$15:$N$67,6,0)</f>
        <v>Mayor exposición de la Lotería al riesgo de LA/FT/FPADM.
Deterioro de los procesos operativos.
Pérdida de reputación.
Procesos judiciales, disciplinarios y/o legales.
Sanciones del supervisor, regulador y/o entes de control.
Pérdida de mercado.</v>
      </c>
      <c r="P68" s="73"/>
      <c r="Q68" s="90"/>
      <c r="R68" s="90"/>
      <c r="S68" s="90"/>
      <c r="T68" s="90"/>
      <c r="U68" s="91"/>
      <c r="V68" s="77"/>
      <c r="W68" s="78"/>
      <c r="X68" s="79"/>
      <c r="AB68" s="23"/>
      <c r="AC68" s="23"/>
      <c r="AH68" s="3"/>
    </row>
    <row r="69" spans="2:34" s="21" customFormat="1" ht="98.25" customHeight="1" x14ac:dyDescent="0.3">
      <c r="B69" s="74"/>
      <c r="C69" s="74" t="s">
        <v>235</v>
      </c>
      <c r="D69" s="74" t="s">
        <v>235</v>
      </c>
      <c r="E69" s="74">
        <f t="shared" si="3"/>
        <v>63</v>
      </c>
      <c r="F69" s="74" t="s">
        <v>284</v>
      </c>
      <c r="G69" s="93" t="str">
        <f>IFERROR(VLOOKUP($C69,Tablas1!$B$3:$C$21,2,0),"ERROR")</f>
        <v>ERROR</v>
      </c>
      <c r="H69" s="93" t="str">
        <f>IFERROR(VLOOKUP(F69,Tablas1!$H$2:$I$14,2,0),"ERROR")</f>
        <v>ERROR</v>
      </c>
      <c r="I69" s="92" t="s">
        <v>360</v>
      </c>
      <c r="J69" s="76"/>
      <c r="K69" s="76" t="s">
        <v>200</v>
      </c>
      <c r="L69" s="76" t="s">
        <v>200</v>
      </c>
      <c r="M69" s="76" t="s">
        <v>200</v>
      </c>
      <c r="N69" s="75" t="s">
        <v>381</v>
      </c>
      <c r="O69" s="75" t="str">
        <f>VLOOKUP(CONCATENATE(IF(J69="X",1,0),IF(K69="X",2,0),IF(L69="X",3,0),IF(M69="X",4,0)),Puntuaciones!$I$15:$N$67,6,0)</f>
        <v>Mayor exposición de la Lotería al riesgo de LA/FT/FPADM.
Deterioro de los procesos operativos.
Pérdida de reputación.
Procesos judiciales, disciplinarios y/o legales.
Sanciones del supervisor, regulador y/o entes de control.
Pérdida de mercado.</v>
      </c>
      <c r="P69" s="73"/>
      <c r="Q69" s="90"/>
      <c r="R69" s="90"/>
      <c r="S69" s="90"/>
      <c r="T69" s="90"/>
      <c r="U69" s="91"/>
      <c r="V69" s="77"/>
      <c r="W69" s="78"/>
      <c r="X69" s="79"/>
      <c r="AB69" s="23"/>
      <c r="AC69" s="23"/>
      <c r="AH69" s="3"/>
    </row>
    <row r="70" spans="2:34" s="21" customFormat="1" ht="98.25" customHeight="1" x14ac:dyDescent="0.3">
      <c r="B70" s="74"/>
      <c r="C70" s="74" t="s">
        <v>235</v>
      </c>
      <c r="D70" s="74" t="s">
        <v>235</v>
      </c>
      <c r="E70" s="74">
        <f t="shared" si="3"/>
        <v>64</v>
      </c>
      <c r="F70" s="74" t="s">
        <v>242</v>
      </c>
      <c r="G70" s="92" t="str">
        <f>IFERROR(VLOOKUP($C70,Tablas1!$B$3:$C$22,2,0),"ERROR")</f>
        <v>ERROR</v>
      </c>
      <c r="H70" s="93" t="str">
        <f>IFERROR(VLOOKUP(F70,Tablas1!$H$2:$I$14,2,0),"ERROR")</f>
        <v>FAC5</v>
      </c>
      <c r="I70" s="92" t="s">
        <v>299</v>
      </c>
      <c r="J70" s="76" t="s">
        <v>200</v>
      </c>
      <c r="K70" s="76" t="s">
        <v>200</v>
      </c>
      <c r="L70" s="76" t="s">
        <v>200</v>
      </c>
      <c r="M70" s="76" t="s">
        <v>200</v>
      </c>
      <c r="N70" s="75" t="s">
        <v>305</v>
      </c>
      <c r="O70" s="75" t="str">
        <f>VLOOKUP(CONCATENATE(IF(J70="X",1,0),IF(K70="X",2,0),IF(L70="X",3,0),IF(M70="X",4,0)),Puntuaciones!$I$15:$N$67,6,0)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0" s="73"/>
      <c r="Q70" s="90"/>
      <c r="R70" s="90"/>
      <c r="S70" s="90"/>
      <c r="T70" s="90"/>
      <c r="U70" s="91"/>
      <c r="V70" s="77"/>
      <c r="W70" s="78"/>
      <c r="X70" s="79"/>
      <c r="AB70" s="23"/>
      <c r="AC70" s="23"/>
      <c r="AH70" s="3"/>
    </row>
    <row r="71" spans="2:34" s="21" customFormat="1" ht="98.25" customHeight="1" x14ac:dyDescent="0.3">
      <c r="B71" s="74"/>
      <c r="C71" s="74" t="s">
        <v>235</v>
      </c>
      <c r="D71" s="74" t="s">
        <v>235</v>
      </c>
      <c r="E71" s="74">
        <f t="shared" si="3"/>
        <v>65</v>
      </c>
      <c r="F71" s="74" t="s">
        <v>240</v>
      </c>
      <c r="G71" s="92" t="str">
        <f>IFERROR(VLOOKUP($C71,Tablas1!$B$3:$C$22,2,0),"ERROR")</f>
        <v>ERROR</v>
      </c>
      <c r="H71" s="93" t="str">
        <f>IFERROR(VLOOKUP(F71,Tablas1!$H$2:$I$14,2,0),"ERROR")</f>
        <v>ERROR</v>
      </c>
      <c r="I71" s="92" t="s">
        <v>300</v>
      </c>
      <c r="J71" s="76" t="s">
        <v>200</v>
      </c>
      <c r="K71" s="76" t="s">
        <v>200</v>
      </c>
      <c r="L71" s="76" t="s">
        <v>200</v>
      </c>
      <c r="M71" s="76" t="s">
        <v>200</v>
      </c>
      <c r="N71" s="75" t="s">
        <v>306</v>
      </c>
      <c r="O71" s="75" t="str">
        <f>VLOOKUP(CONCATENATE(IF(J71="X",1,0),IF(K71="X",2,0),IF(L71="X",3,0),IF(M71="X",4,0)),Puntuaciones!$I$15:$N$67,6,0)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1" s="73"/>
      <c r="Q71" s="90"/>
      <c r="R71" s="90"/>
      <c r="S71" s="90"/>
      <c r="T71" s="90"/>
      <c r="U71" s="91"/>
      <c r="V71" s="77"/>
      <c r="W71" s="78"/>
      <c r="X71" s="79"/>
      <c r="AB71" s="23"/>
      <c r="AC71" s="23"/>
      <c r="AH71" s="3"/>
    </row>
    <row r="72" spans="2:34" s="21" customFormat="1" ht="98.25" customHeight="1" x14ac:dyDescent="0.3">
      <c r="B72" s="74"/>
      <c r="C72" s="74" t="s">
        <v>235</v>
      </c>
      <c r="D72" s="74" t="s">
        <v>235</v>
      </c>
      <c r="E72" s="74">
        <f t="shared" si="3"/>
        <v>66</v>
      </c>
      <c r="F72" s="74" t="s">
        <v>284</v>
      </c>
      <c r="G72" s="92" t="str">
        <f>IFERROR(VLOOKUP($C72,Tablas1!$B$3:$C$22,2,0),"ERROR")</f>
        <v>ERROR</v>
      </c>
      <c r="H72" s="93" t="str">
        <f>IFERROR(VLOOKUP(F72,Tablas1!$H$2:$I$14,2,0),"ERROR")</f>
        <v>ERROR</v>
      </c>
      <c r="I72" s="92" t="s">
        <v>301</v>
      </c>
      <c r="J72" s="76" t="s">
        <v>200</v>
      </c>
      <c r="K72" s="76" t="s">
        <v>200</v>
      </c>
      <c r="L72" s="76" t="s">
        <v>200</v>
      </c>
      <c r="M72" s="76" t="s">
        <v>200</v>
      </c>
      <c r="N72" s="75" t="s">
        <v>307</v>
      </c>
      <c r="O72" s="75" t="str">
        <f>VLOOKUP(CONCATENATE(IF(J72="X",1,0),IF(K72="X",2,0),IF(L72="X",3,0),IF(M72="X",4,0)),Puntuaciones!$I$15:$N$67,6,0)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2" s="73"/>
      <c r="Q72" s="90"/>
      <c r="R72" s="90"/>
      <c r="S72" s="90"/>
      <c r="T72" s="90"/>
      <c r="U72" s="91"/>
      <c r="V72" s="77"/>
      <c r="W72" s="78"/>
      <c r="X72" s="79"/>
      <c r="AB72" s="23"/>
      <c r="AC72" s="23"/>
      <c r="AH72" s="3"/>
    </row>
    <row r="73" spans="2:34" s="21" customFormat="1" ht="98.25" customHeight="1" x14ac:dyDescent="0.3">
      <c r="B73" s="74"/>
      <c r="C73" s="74" t="s">
        <v>235</v>
      </c>
      <c r="D73" s="74" t="s">
        <v>235</v>
      </c>
      <c r="E73" s="74">
        <f t="shared" si="3"/>
        <v>67</v>
      </c>
      <c r="F73" s="74" t="s">
        <v>241</v>
      </c>
      <c r="G73" s="92" t="str">
        <f>IFERROR(VLOOKUP($C73,Tablas1!$B$3:$C$22,2,0),"ERROR")</f>
        <v>ERROR</v>
      </c>
      <c r="H73" s="93" t="str">
        <f>IFERROR(VLOOKUP(F73,Tablas1!$H$2:$I$14,2,0),"ERROR")</f>
        <v>ERROR</v>
      </c>
      <c r="I73" s="92" t="s">
        <v>308</v>
      </c>
      <c r="J73" s="76" t="s">
        <v>200</v>
      </c>
      <c r="K73" s="76" t="s">
        <v>200</v>
      </c>
      <c r="L73" s="76" t="s">
        <v>200</v>
      </c>
      <c r="M73" s="76" t="s">
        <v>200</v>
      </c>
      <c r="N73" s="75" t="s">
        <v>309</v>
      </c>
      <c r="O73" s="75" t="str">
        <f>VLOOKUP(CONCATENATE(IF(J73="X",1,0),IF(K73="X",2,0),IF(L73="X",3,0),IF(M73="X",4,0)),Puntuaciones!$I$15:$N$67,6,0)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3" s="73"/>
      <c r="Q73" s="90"/>
      <c r="R73" s="90"/>
      <c r="S73" s="90"/>
      <c r="T73" s="90"/>
      <c r="U73" s="91"/>
      <c r="V73" s="77"/>
      <c r="W73" s="78"/>
      <c r="X73" s="79"/>
      <c r="AB73" s="23"/>
      <c r="AC73" s="23"/>
      <c r="AH73" s="3"/>
    </row>
    <row r="74" spans="2:34" s="21" customFormat="1" ht="98.25" customHeight="1" x14ac:dyDescent="0.3">
      <c r="B74" s="74"/>
      <c r="C74" s="74" t="s">
        <v>235</v>
      </c>
      <c r="D74" s="74" t="s">
        <v>235</v>
      </c>
      <c r="E74" s="74">
        <f t="shared" si="3"/>
        <v>68</v>
      </c>
      <c r="F74" s="74" t="s">
        <v>9</v>
      </c>
      <c r="G74" s="92" t="str">
        <f>IFERROR(VLOOKUP($C74,Tablas1!$B$3:$C$22,2,0),"ERROR")</f>
        <v>ERROR</v>
      </c>
      <c r="H74" s="93" t="str">
        <f>IFERROR(VLOOKUP(F74,Tablas1!$H$2:$I$14,2,0),"ERROR")</f>
        <v>FAC3</v>
      </c>
      <c r="I74" s="92" t="s">
        <v>315</v>
      </c>
      <c r="J74" s="76"/>
      <c r="K74" s="76" t="s">
        <v>200</v>
      </c>
      <c r="L74" s="76" t="s">
        <v>200</v>
      </c>
      <c r="M74" s="76" t="s">
        <v>200</v>
      </c>
      <c r="N74" s="75" t="s">
        <v>316</v>
      </c>
      <c r="O74" s="75" t="str">
        <f>VLOOKUP(CONCATENATE(IF(J74="X",1,0),IF(K74="X",2,0),IF(L74="X",3,0),IF(M74="X",4,0)),Puntuaciones!$I$15:$N$67,6,0)</f>
        <v>Mayor exposición de la Lotería al riesgo de LA/FT/FPADM.
Deterioro de los procesos operativos.
Pérdida de reputación.
Procesos judiciales, disciplinarios y/o legales.
Sanciones del supervisor, regulador y/o entes de control.
Pérdida de mercado.</v>
      </c>
      <c r="P74" s="73"/>
      <c r="Q74" s="90"/>
      <c r="R74" s="90"/>
      <c r="S74" s="90"/>
      <c r="T74" s="90"/>
      <c r="U74" s="91"/>
      <c r="V74" s="77"/>
      <c r="W74" s="78"/>
      <c r="X74" s="79"/>
      <c r="AB74" s="23"/>
      <c r="AC74" s="23"/>
      <c r="AH74" s="3"/>
    </row>
    <row r="75" spans="2:34" s="21" customFormat="1" ht="98.25" customHeight="1" x14ac:dyDescent="0.3">
      <c r="B75" s="74"/>
      <c r="C75" s="74" t="s">
        <v>235</v>
      </c>
      <c r="D75" s="74" t="s">
        <v>235</v>
      </c>
      <c r="E75" s="74">
        <f t="shared" si="3"/>
        <v>69</v>
      </c>
      <c r="F75" s="74" t="s">
        <v>359</v>
      </c>
      <c r="G75" s="92" t="str">
        <f>IFERROR(VLOOKUP($C75,Tablas1!$B$3:$C$22,2,0),"ERROR")</f>
        <v>ERROR</v>
      </c>
      <c r="H75" s="93" t="str">
        <f>IFERROR(VLOOKUP(F75,Tablas1!$H$2:$I$14,2,0),"ERROR")</f>
        <v>ERROR</v>
      </c>
      <c r="I75" s="92" t="s">
        <v>311</v>
      </c>
      <c r="J75" s="76"/>
      <c r="K75" s="76" t="s">
        <v>200</v>
      </c>
      <c r="L75" s="76" t="s">
        <v>200</v>
      </c>
      <c r="M75" s="76" t="s">
        <v>200</v>
      </c>
      <c r="N75" s="75" t="s">
        <v>312</v>
      </c>
      <c r="O75" s="75" t="str">
        <f>VLOOKUP(CONCATENATE(IF(J75="X",1,0),IF(K75="X",2,0),IF(L75="X",3,0),IF(M75="X",4,0)),Puntuaciones!$I$15:$N$67,6,0)</f>
        <v>Mayor exposición de la Lotería al riesgo de LA/FT/FPADM.
Deterioro de los procesos operativos.
Pérdida de reputación.
Procesos judiciales, disciplinarios y/o legales.
Sanciones del supervisor, regulador y/o entes de control.
Pérdida de mercado.</v>
      </c>
      <c r="P75" s="73"/>
      <c r="Q75" s="90"/>
      <c r="R75" s="90"/>
      <c r="S75" s="90"/>
      <c r="T75" s="90"/>
      <c r="U75" s="91"/>
      <c r="V75" s="77"/>
      <c r="W75" s="78"/>
      <c r="X75" s="79"/>
      <c r="AB75" s="23"/>
      <c r="AC75" s="23"/>
      <c r="AH75" s="3"/>
    </row>
    <row r="76" spans="2:34" s="21" customFormat="1" ht="98.25" customHeight="1" x14ac:dyDescent="0.3">
      <c r="B76" s="74"/>
      <c r="C76" s="74" t="s">
        <v>235</v>
      </c>
      <c r="D76" s="74" t="s">
        <v>235</v>
      </c>
      <c r="E76" s="74">
        <f t="shared" si="3"/>
        <v>70</v>
      </c>
      <c r="F76" s="74" t="s">
        <v>243</v>
      </c>
      <c r="G76" s="92" t="str">
        <f>IFERROR(VLOOKUP($C76,Tablas1!$B$3:$C$22,2,0),"ERROR")</f>
        <v>ERROR</v>
      </c>
      <c r="H76" s="93" t="str">
        <f>IFERROR(VLOOKUP(F76,Tablas1!$H$2:$I$14,2,0),"ERROR")</f>
        <v>FAC2</v>
      </c>
      <c r="I76" s="92" t="s">
        <v>313</v>
      </c>
      <c r="J76" s="76"/>
      <c r="K76" s="76" t="s">
        <v>200</v>
      </c>
      <c r="L76" s="76" t="s">
        <v>200</v>
      </c>
      <c r="M76" s="76" t="s">
        <v>200</v>
      </c>
      <c r="N76" s="75" t="s">
        <v>314</v>
      </c>
      <c r="O76" s="75" t="str">
        <f>VLOOKUP(CONCATENATE(IF(J76="X",1,0),IF(K76="X",2,0),IF(L76="X",3,0),IF(M76="X",4,0)),Puntuaciones!$I$15:$N$67,6,0)</f>
        <v>Mayor exposición de la Lotería al riesgo de LA/FT/FPADM.
Deterioro de los procesos operativos.
Pérdida de reputación.
Procesos judiciales, disciplinarios y/o legales.
Sanciones del supervisor, regulador y/o entes de control.
Pérdida de mercado.</v>
      </c>
      <c r="P76" s="73"/>
      <c r="Q76" s="90"/>
      <c r="R76" s="90"/>
      <c r="S76" s="90"/>
      <c r="T76" s="90"/>
      <c r="U76" s="91"/>
      <c r="V76" s="77"/>
      <c r="W76" s="78"/>
      <c r="X76" s="79"/>
      <c r="AB76" s="23"/>
      <c r="AC76" s="23"/>
      <c r="AH76" s="3"/>
    </row>
    <row r="77" spans="2:34" s="21" customFormat="1" ht="98.25" customHeight="1" x14ac:dyDescent="0.3">
      <c r="B77" s="74"/>
      <c r="C77" s="74" t="s">
        <v>235</v>
      </c>
      <c r="D77" s="74" t="s">
        <v>235</v>
      </c>
      <c r="E77" s="74">
        <f t="shared" si="3"/>
        <v>71</v>
      </c>
      <c r="F77" s="74" t="s">
        <v>242</v>
      </c>
      <c r="G77" s="92" t="str">
        <f>IFERROR(VLOOKUP($C77,Tablas1!$B$3:$C$22,2,0),"ERROR")</f>
        <v>ERROR</v>
      </c>
      <c r="H77" s="93" t="str">
        <f>IFERROR(VLOOKUP(F77,Tablas1!$H$2:$I$14,2,0),"ERROR")</f>
        <v>FAC5</v>
      </c>
      <c r="I77" s="92" t="s">
        <v>299</v>
      </c>
      <c r="J77" s="76" t="s">
        <v>200</v>
      </c>
      <c r="K77" s="76" t="s">
        <v>200</v>
      </c>
      <c r="L77" s="76" t="s">
        <v>200</v>
      </c>
      <c r="M77" s="76" t="s">
        <v>200</v>
      </c>
      <c r="N77" s="75" t="s">
        <v>305</v>
      </c>
      <c r="O77" s="75" t="str">
        <f>VLOOKUP(CONCATENATE(IF(J77="X",1,0),IF(K77="X",2,0),IF(L77="X",3,0),IF(M77="X",4,0)),Puntuaciones!$I$15:$N$67,6,0)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7" s="73"/>
      <c r="Q77" s="90"/>
      <c r="R77" s="90"/>
      <c r="S77" s="90"/>
      <c r="T77" s="90"/>
      <c r="U77" s="91"/>
      <c r="V77" s="77"/>
      <c r="W77" s="78"/>
      <c r="X77" s="79"/>
      <c r="AB77" s="23"/>
      <c r="AC77" s="23"/>
      <c r="AH77" s="3"/>
    </row>
    <row r="78" spans="2:34" s="21" customFormat="1" ht="98.25" customHeight="1" x14ac:dyDescent="0.3">
      <c r="B78" s="74"/>
      <c r="C78" s="74" t="s">
        <v>235</v>
      </c>
      <c r="D78" s="74" t="s">
        <v>235</v>
      </c>
      <c r="E78" s="74">
        <f t="shared" si="3"/>
        <v>72</v>
      </c>
      <c r="F78" s="74" t="s">
        <v>359</v>
      </c>
      <c r="G78" s="92" t="str">
        <f>IFERROR(VLOOKUP($C78,Tablas1!$B$3:$C$22,2,0),"ERROR")</f>
        <v>ERROR</v>
      </c>
      <c r="H78" s="93" t="str">
        <f>IFERROR(VLOOKUP(F78,Tablas1!$H$2:$I$14,2,0),"ERROR")</f>
        <v>ERROR</v>
      </c>
      <c r="I78" s="92" t="s">
        <v>311</v>
      </c>
      <c r="J78" s="76"/>
      <c r="K78" s="76" t="s">
        <v>200</v>
      </c>
      <c r="L78" s="76" t="s">
        <v>200</v>
      </c>
      <c r="M78" s="76" t="s">
        <v>200</v>
      </c>
      <c r="N78" s="75" t="s">
        <v>312</v>
      </c>
      <c r="O78" s="75" t="str">
        <f>VLOOKUP(CONCATENATE(IF(J78="X",1,0),IF(K78="X",2,0),IF(L78="X",3,0),IF(M78="X",4,0)),Puntuaciones!$I$15:$N$67,6,0)</f>
        <v>Mayor exposición de la Lotería al riesgo de LA/FT/FPADM.
Deterioro de los procesos operativos.
Pérdida de reputación.
Procesos judiciales, disciplinarios y/o legales.
Sanciones del supervisor, regulador y/o entes de control.
Pérdida de mercado.</v>
      </c>
      <c r="P78" s="73"/>
      <c r="Q78" s="90"/>
      <c r="R78" s="90"/>
      <c r="S78" s="90"/>
      <c r="T78" s="90"/>
      <c r="U78" s="91"/>
      <c r="V78" s="77"/>
      <c r="W78" s="78"/>
      <c r="X78" s="79"/>
      <c r="AB78" s="23"/>
      <c r="AC78" s="23"/>
      <c r="AH78" s="3"/>
    </row>
    <row r="79" spans="2:34" s="21" customFormat="1" ht="98.25" customHeight="1" x14ac:dyDescent="0.3">
      <c r="B79" s="74"/>
      <c r="C79" s="74" t="s">
        <v>232</v>
      </c>
      <c r="D79" s="74" t="s">
        <v>232</v>
      </c>
      <c r="E79" s="74">
        <f t="shared" si="3"/>
        <v>73</v>
      </c>
      <c r="F79" s="74" t="s">
        <v>242</v>
      </c>
      <c r="G79" s="92" t="str">
        <f>IFERROR(VLOOKUP($C79,Tablas1!$B$3:$C$22,2,0),"ERROR")</f>
        <v>ERROR</v>
      </c>
      <c r="H79" s="93" t="str">
        <f>IFERROR(VLOOKUP(F79,Tablas1!$H$2:$I$14,2,0),"ERROR")</f>
        <v>FAC5</v>
      </c>
      <c r="I79" s="92" t="s">
        <v>361</v>
      </c>
      <c r="J79" s="76" t="s">
        <v>200</v>
      </c>
      <c r="K79" s="76" t="s">
        <v>200</v>
      </c>
      <c r="L79" s="76" t="s">
        <v>200</v>
      </c>
      <c r="M79" s="76" t="s">
        <v>200</v>
      </c>
      <c r="N79" s="75" t="s">
        <v>305</v>
      </c>
      <c r="O79" s="75" t="str">
        <f>VLOOKUP(CONCATENATE(IF(J79="X",1,0),IF(K79="X",2,0),IF(L79="X",3,0),IF(M79="X",4,0)),Puntuaciones!$I$15:$N$67,6,0)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79" s="73"/>
      <c r="Q79" s="90"/>
      <c r="R79" s="90"/>
      <c r="S79" s="90"/>
      <c r="T79" s="90"/>
      <c r="U79" s="91"/>
      <c r="V79" s="77"/>
      <c r="W79" s="78"/>
      <c r="X79" s="79"/>
      <c r="AB79" s="23"/>
      <c r="AC79" s="23"/>
      <c r="AH79" s="3"/>
    </row>
    <row r="80" spans="2:34" s="21" customFormat="1" ht="98.25" customHeight="1" x14ac:dyDescent="0.3">
      <c r="B80" s="74"/>
      <c r="C80" s="74" t="s">
        <v>232</v>
      </c>
      <c r="D80" s="74" t="s">
        <v>232</v>
      </c>
      <c r="E80" s="74">
        <f t="shared" si="3"/>
        <v>74</v>
      </c>
      <c r="F80" s="74" t="s">
        <v>359</v>
      </c>
      <c r="G80" s="92" t="str">
        <f>IFERROR(VLOOKUP($C80,Tablas1!$B$3:$C$22,2,0),"ERROR")</f>
        <v>ERROR</v>
      </c>
      <c r="H80" s="93" t="str">
        <f>IFERROR(VLOOKUP(F80,Tablas1!$H$2:$I$14,2,0),"ERROR")</f>
        <v>ERROR</v>
      </c>
      <c r="I80" s="92" t="s">
        <v>362</v>
      </c>
      <c r="J80" s="76" t="s">
        <v>200</v>
      </c>
      <c r="K80" s="76" t="s">
        <v>200</v>
      </c>
      <c r="L80" s="76" t="s">
        <v>200</v>
      </c>
      <c r="M80" s="76" t="s">
        <v>200</v>
      </c>
      <c r="N80" s="75" t="s">
        <v>312</v>
      </c>
      <c r="O80" s="75" t="str">
        <f>VLOOKUP(CONCATENATE(IF(J80="X",1,0),IF(K80="X",2,0),IF(L80="X",3,0),IF(M80="X",4,0)),Puntuaciones!$I$15:$N$67,6,0)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0" s="73"/>
      <c r="Q80" s="90"/>
      <c r="R80" s="90"/>
      <c r="S80" s="90"/>
      <c r="T80" s="90"/>
      <c r="U80" s="91"/>
      <c r="V80" s="77"/>
      <c r="W80" s="78"/>
      <c r="X80" s="79"/>
      <c r="AB80" s="23"/>
      <c r="AC80" s="23"/>
      <c r="AH80" s="3"/>
    </row>
    <row r="81" spans="2:34" s="21" customFormat="1" ht="98.25" customHeight="1" x14ac:dyDescent="0.3">
      <c r="B81" s="74"/>
      <c r="C81" s="74" t="s">
        <v>233</v>
      </c>
      <c r="D81" s="74" t="s">
        <v>233</v>
      </c>
      <c r="E81" s="74">
        <f t="shared" si="3"/>
        <v>75</v>
      </c>
      <c r="F81" s="74" t="s">
        <v>242</v>
      </c>
      <c r="G81" s="92" t="str">
        <f>IFERROR(VLOOKUP($C81,Tablas1!$B$3:$C$22,2,0),"ERROR")</f>
        <v>ERROR</v>
      </c>
      <c r="H81" s="93" t="str">
        <f>IFERROR(VLOOKUP(F81,Tablas1!$H$2:$I$14,2,0),"ERROR")</f>
        <v>FAC5</v>
      </c>
      <c r="I81" s="92" t="s">
        <v>364</v>
      </c>
      <c r="J81" s="76" t="s">
        <v>200</v>
      </c>
      <c r="K81" s="76" t="s">
        <v>200</v>
      </c>
      <c r="L81" s="76" t="s">
        <v>200</v>
      </c>
      <c r="M81" s="76" t="s">
        <v>200</v>
      </c>
      <c r="N81" s="75" t="s">
        <v>305</v>
      </c>
      <c r="O81" s="75" t="str">
        <f>VLOOKUP(CONCATENATE(IF(J81="X",1,0),IF(K81="X",2,0),IF(L81="X",3,0),IF(M81="X",4,0)),Puntuaciones!$I$15:$N$67,6,0)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1" s="73"/>
      <c r="Q81" s="90"/>
      <c r="R81" s="90"/>
      <c r="S81" s="90"/>
      <c r="T81" s="90"/>
      <c r="U81" s="91"/>
      <c r="V81" s="77"/>
      <c r="W81" s="78"/>
      <c r="X81" s="79"/>
      <c r="AB81" s="23"/>
      <c r="AC81" s="23"/>
      <c r="AH81" s="3"/>
    </row>
    <row r="82" spans="2:34" s="21" customFormat="1" ht="98.25" customHeight="1" x14ac:dyDescent="0.3">
      <c r="B82" s="74"/>
      <c r="C82" s="74" t="s">
        <v>233</v>
      </c>
      <c r="D82" s="74" t="s">
        <v>233</v>
      </c>
      <c r="E82" s="74">
        <f t="shared" si="3"/>
        <v>76</v>
      </c>
      <c r="F82" s="74" t="s">
        <v>359</v>
      </c>
      <c r="G82" s="92" t="str">
        <f>IFERROR(VLOOKUP($C82,Tablas1!$B$3:$C$22,2,0),"ERROR")</f>
        <v>ERROR</v>
      </c>
      <c r="H82" s="93" t="str">
        <f>IFERROR(VLOOKUP(F82,Tablas1!$H$2:$I$14,2,0),"ERROR")</f>
        <v>ERROR</v>
      </c>
      <c r="I82" s="92" t="s">
        <v>363</v>
      </c>
      <c r="J82" s="76" t="s">
        <v>200</v>
      </c>
      <c r="K82" s="76" t="s">
        <v>200</v>
      </c>
      <c r="L82" s="76" t="s">
        <v>200</v>
      </c>
      <c r="M82" s="76" t="s">
        <v>200</v>
      </c>
      <c r="N82" s="75" t="s">
        <v>312</v>
      </c>
      <c r="O82" s="75" t="str">
        <f>VLOOKUP(CONCATENATE(IF(J82="X",1,0),IF(K82="X",2,0),IF(L82="X",3,0),IF(M82="X",4,0)),Puntuaciones!$I$15:$N$67,6,0)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2" s="73"/>
      <c r="Q82" s="90"/>
      <c r="R82" s="90"/>
      <c r="S82" s="90"/>
      <c r="T82" s="90"/>
      <c r="U82" s="91"/>
      <c r="V82" s="77"/>
      <c r="W82" s="78"/>
      <c r="X82" s="79"/>
      <c r="AB82" s="23"/>
      <c r="AC82" s="23"/>
      <c r="AH82" s="3"/>
    </row>
    <row r="83" spans="2:34" s="21" customFormat="1" ht="98.25" customHeight="1" x14ac:dyDescent="0.3">
      <c r="B83" s="74"/>
      <c r="C83" s="74" t="s">
        <v>234</v>
      </c>
      <c r="D83" s="74" t="s">
        <v>234</v>
      </c>
      <c r="E83" s="74">
        <f t="shared" ref="E83:E89" si="5">ROW(C83)-6</f>
        <v>77</v>
      </c>
      <c r="F83" s="74" t="s">
        <v>242</v>
      </c>
      <c r="G83" s="92" t="str">
        <f>IFERROR(VLOOKUP($C83,Tablas1!$B$3:$C$22,2,0),"ERROR")</f>
        <v>ERROR</v>
      </c>
      <c r="H83" s="93" t="str">
        <f>IFERROR(VLOOKUP(F83,Tablas1!$H$2:$I$14,2,0),"ERROR")</f>
        <v>FAC5</v>
      </c>
      <c r="I83" s="92" t="s">
        <v>365</v>
      </c>
      <c r="J83" s="76" t="s">
        <v>200</v>
      </c>
      <c r="K83" s="76" t="s">
        <v>200</v>
      </c>
      <c r="L83" s="76" t="s">
        <v>200</v>
      </c>
      <c r="M83" s="76" t="s">
        <v>200</v>
      </c>
      <c r="N83" s="75" t="s">
        <v>305</v>
      </c>
      <c r="O83" s="75" t="str">
        <f>VLOOKUP(CONCATENATE(IF(J83="X",1,0),IF(K83="X",2,0),IF(L83="X",3,0),IF(M83="X",4,0)),Puntuaciones!$I$15:$N$67,6,0)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3" s="73"/>
      <c r="Q83" s="90"/>
      <c r="R83" s="90"/>
      <c r="S83" s="90"/>
      <c r="T83" s="90"/>
      <c r="U83" s="91"/>
      <c r="V83" s="77"/>
      <c r="W83" s="78"/>
      <c r="X83" s="79"/>
      <c r="AB83" s="23"/>
      <c r="AC83" s="23"/>
      <c r="AH83" s="3"/>
    </row>
    <row r="84" spans="2:34" s="21" customFormat="1" ht="98.25" customHeight="1" x14ac:dyDescent="0.3">
      <c r="B84" s="74"/>
      <c r="C84" s="74" t="s">
        <v>234</v>
      </c>
      <c r="D84" s="74" t="s">
        <v>234</v>
      </c>
      <c r="E84" s="74">
        <f t="shared" si="5"/>
        <v>78</v>
      </c>
      <c r="F84" s="74" t="s">
        <v>242</v>
      </c>
      <c r="G84" s="92" t="str">
        <f>IFERROR(VLOOKUP($C84,Tablas1!$B$3:$C$22,2,0),"ERROR")</f>
        <v>ERROR</v>
      </c>
      <c r="H84" s="93" t="str">
        <f>IFERROR(VLOOKUP(F84,Tablas1!$H$2:$I$14,2,0),"ERROR")</f>
        <v>FAC5</v>
      </c>
      <c r="I84" s="92" t="s">
        <v>366</v>
      </c>
      <c r="J84" s="76" t="s">
        <v>200</v>
      </c>
      <c r="K84" s="76" t="s">
        <v>200</v>
      </c>
      <c r="L84" s="76" t="s">
        <v>200</v>
      </c>
      <c r="M84" s="76" t="s">
        <v>200</v>
      </c>
      <c r="N84" s="75" t="s">
        <v>305</v>
      </c>
      <c r="O84" s="75" t="str">
        <f>VLOOKUP(CONCATENATE(IF(J84="X",1,0),IF(K84="X",2,0),IF(L84="X",3,0),IF(M84="X",4,0)),Puntuaciones!$I$15:$N$67,6,0)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4" s="73"/>
      <c r="Q84" s="90"/>
      <c r="R84" s="90"/>
      <c r="S84" s="90"/>
      <c r="T84" s="90"/>
      <c r="U84" s="91"/>
      <c r="V84" s="77"/>
      <c r="W84" s="78"/>
      <c r="X84" s="79"/>
      <c r="AB84" s="23"/>
      <c r="AC84" s="23"/>
      <c r="AH84" s="3"/>
    </row>
    <row r="85" spans="2:34" s="21" customFormat="1" ht="98.25" customHeight="1" x14ac:dyDescent="0.3">
      <c r="B85" s="74"/>
      <c r="C85" s="74" t="s">
        <v>234</v>
      </c>
      <c r="D85" s="74" t="s">
        <v>234</v>
      </c>
      <c r="E85" s="74">
        <f t="shared" si="5"/>
        <v>79</v>
      </c>
      <c r="F85" s="74" t="s">
        <v>359</v>
      </c>
      <c r="G85" s="92" t="str">
        <f>IFERROR(VLOOKUP($C85,Tablas1!$B$3:$C$22,2,0),"ERROR")</f>
        <v>ERROR</v>
      </c>
      <c r="H85" s="93" t="str">
        <f>IFERROR(VLOOKUP(F85,Tablas1!$H$2:$I$14,2,0),"ERROR")</f>
        <v>ERROR</v>
      </c>
      <c r="I85" s="92" t="s">
        <v>367</v>
      </c>
      <c r="J85" s="76" t="s">
        <v>200</v>
      </c>
      <c r="K85" s="76" t="s">
        <v>200</v>
      </c>
      <c r="L85" s="76" t="s">
        <v>200</v>
      </c>
      <c r="M85" s="76" t="s">
        <v>200</v>
      </c>
      <c r="N85" s="75" t="s">
        <v>312</v>
      </c>
      <c r="O85" s="75" t="str">
        <f>VLOOKUP(CONCATENATE(IF(J85="X",1,0),IF(K85="X",2,0),IF(L85="X",3,0),IF(M85="X",4,0)),Puntuaciones!$I$15:$N$67,6,0)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5" s="73"/>
      <c r="Q85" s="90"/>
      <c r="R85" s="90"/>
      <c r="S85" s="90"/>
      <c r="T85" s="90"/>
      <c r="U85" s="91"/>
      <c r="V85" s="77"/>
      <c r="W85" s="78"/>
      <c r="X85" s="79"/>
      <c r="AB85" s="23"/>
      <c r="AC85" s="23"/>
      <c r="AH85" s="3"/>
    </row>
    <row r="86" spans="2:34" s="21" customFormat="1" ht="98.25" customHeight="1" x14ac:dyDescent="0.3">
      <c r="B86" s="74"/>
      <c r="C86" s="74" t="s">
        <v>236</v>
      </c>
      <c r="D86" s="74" t="s">
        <v>236</v>
      </c>
      <c r="E86" s="74">
        <f t="shared" si="5"/>
        <v>80</v>
      </c>
      <c r="F86" s="74" t="s">
        <v>242</v>
      </c>
      <c r="G86" s="92" t="str">
        <f>IFERROR(VLOOKUP($C86,Tablas1!$B$3:$C$22,2,0),"ERROR")</f>
        <v>ERROR</v>
      </c>
      <c r="H86" s="93" t="str">
        <f>IFERROR(VLOOKUP(F86,Tablas1!$H$2:$I$14,2,0),"ERROR")</f>
        <v>FAC5</v>
      </c>
      <c r="I86" s="92" t="s">
        <v>368</v>
      </c>
      <c r="J86" s="76" t="s">
        <v>200</v>
      </c>
      <c r="K86" s="76" t="s">
        <v>200</v>
      </c>
      <c r="L86" s="76" t="s">
        <v>200</v>
      </c>
      <c r="M86" s="76" t="s">
        <v>200</v>
      </c>
      <c r="N86" s="75" t="s">
        <v>305</v>
      </c>
      <c r="O86" s="75" t="str">
        <f>VLOOKUP(CONCATENATE(IF(J86="X",1,0),IF(K86="X",2,0),IF(L86="X",3,0),IF(M86="X",4,0)),Puntuaciones!$I$15:$N$67,6,0)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6" s="73"/>
      <c r="Q86" s="90"/>
      <c r="R86" s="90"/>
      <c r="S86" s="90"/>
      <c r="T86" s="90"/>
      <c r="U86" s="91"/>
      <c r="V86" s="77"/>
      <c r="W86" s="78"/>
      <c r="X86" s="79"/>
      <c r="AB86" s="23"/>
      <c r="AC86" s="23"/>
      <c r="AH86" s="3"/>
    </row>
    <row r="87" spans="2:34" s="21" customFormat="1" ht="98.25" customHeight="1" x14ac:dyDescent="0.3">
      <c r="B87" s="74"/>
      <c r="C87" s="74" t="s">
        <v>236</v>
      </c>
      <c r="D87" s="74" t="s">
        <v>236</v>
      </c>
      <c r="E87" s="74">
        <f t="shared" si="5"/>
        <v>81</v>
      </c>
      <c r="F87" s="74" t="s">
        <v>359</v>
      </c>
      <c r="G87" s="92" t="str">
        <f>IFERROR(VLOOKUP($C87,Tablas1!$B$3:$C$22,2,0),"ERROR")</f>
        <v>ERROR</v>
      </c>
      <c r="H87" s="93" t="str">
        <f>IFERROR(VLOOKUP(F87,Tablas1!$H$2:$I$14,2,0),"ERROR")</f>
        <v>ERROR</v>
      </c>
      <c r="I87" s="92" t="s">
        <v>369</v>
      </c>
      <c r="J87" s="76" t="s">
        <v>200</v>
      </c>
      <c r="K87" s="76" t="s">
        <v>200</v>
      </c>
      <c r="L87" s="76" t="s">
        <v>200</v>
      </c>
      <c r="M87" s="76" t="s">
        <v>200</v>
      </c>
      <c r="N87" s="75" t="s">
        <v>312</v>
      </c>
      <c r="O87" s="75" t="str">
        <f>VLOOKUP(CONCATENATE(IF(J87="X",1,0),IF(K87="X",2,0),IF(L87="X",3,0),IF(M87="X",4,0)),Puntuaciones!$I$15:$N$67,6,0)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7" s="73"/>
      <c r="Q87" s="90"/>
      <c r="R87" s="90"/>
      <c r="S87" s="90"/>
      <c r="T87" s="90"/>
      <c r="U87" s="91"/>
      <c r="V87" s="77"/>
      <c r="W87" s="78"/>
      <c r="X87" s="79"/>
      <c r="AB87" s="23"/>
      <c r="AC87" s="23"/>
      <c r="AH87" s="3"/>
    </row>
    <row r="88" spans="2:34" s="21" customFormat="1" ht="98.25" customHeight="1" x14ac:dyDescent="0.3">
      <c r="B88" s="74"/>
      <c r="C88" s="74" t="s">
        <v>237</v>
      </c>
      <c r="D88" s="74" t="s">
        <v>237</v>
      </c>
      <c r="E88" s="74">
        <f t="shared" si="5"/>
        <v>82</v>
      </c>
      <c r="F88" s="74" t="s">
        <v>242</v>
      </c>
      <c r="G88" s="92" t="str">
        <f>IFERROR(VLOOKUP($C88,Tablas1!$B$3:$C$22,2,0),"ERROR")</f>
        <v>ERROR</v>
      </c>
      <c r="H88" s="93" t="str">
        <f>IFERROR(VLOOKUP(F88,Tablas1!$H$2:$I$14,2,0),"ERROR")</f>
        <v>FAC5</v>
      </c>
      <c r="I88" s="92" t="s">
        <v>370</v>
      </c>
      <c r="J88" s="76" t="s">
        <v>200</v>
      </c>
      <c r="K88" s="76" t="s">
        <v>200</v>
      </c>
      <c r="L88" s="76" t="s">
        <v>200</v>
      </c>
      <c r="M88" s="76" t="s">
        <v>200</v>
      </c>
      <c r="N88" s="75" t="s">
        <v>305</v>
      </c>
      <c r="O88" s="75" t="str">
        <f>VLOOKUP(CONCATENATE(IF(J88="X",1,0),IF(K88="X",2,0),IF(L88="X",3,0),IF(M88="X",4,0)),Puntuaciones!$I$15:$N$67,6,0)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8" s="73"/>
      <c r="Q88" s="90"/>
      <c r="R88" s="90"/>
      <c r="S88" s="90"/>
      <c r="T88" s="90"/>
      <c r="U88" s="91"/>
      <c r="V88" s="77"/>
      <c r="W88" s="78"/>
      <c r="X88" s="79"/>
      <c r="AB88" s="23"/>
      <c r="AC88" s="23"/>
      <c r="AH88" s="3"/>
    </row>
    <row r="89" spans="2:34" s="21" customFormat="1" ht="98.25" customHeight="1" x14ac:dyDescent="0.3">
      <c r="B89" s="74"/>
      <c r="C89" s="74" t="s">
        <v>237</v>
      </c>
      <c r="D89" s="74" t="s">
        <v>237</v>
      </c>
      <c r="E89" s="74">
        <f t="shared" si="5"/>
        <v>83</v>
      </c>
      <c r="F89" s="74" t="s">
        <v>359</v>
      </c>
      <c r="G89" s="92" t="str">
        <f>IFERROR(VLOOKUP($C89,Tablas1!$B$3:$C$22,2,0),"ERROR")</f>
        <v>ERROR</v>
      </c>
      <c r="H89" s="93" t="str">
        <f>IFERROR(VLOOKUP(F89,Tablas1!$H$2:$I$14,2,0),"ERROR")</f>
        <v>ERROR</v>
      </c>
      <c r="I89" s="92" t="s">
        <v>371</v>
      </c>
      <c r="J89" s="76" t="s">
        <v>200</v>
      </c>
      <c r="K89" s="76" t="s">
        <v>200</v>
      </c>
      <c r="L89" s="76" t="s">
        <v>200</v>
      </c>
      <c r="M89" s="76" t="s">
        <v>200</v>
      </c>
      <c r="N89" s="75" t="s">
        <v>312</v>
      </c>
      <c r="O89" s="75" t="str">
        <f>VLOOKUP(CONCATENATE(IF(J89="X",1,0),IF(K89="X",2,0),IF(L89="X",3,0),IF(M89="X",4,0)),Puntuaciones!$I$15:$N$67,6,0)</f>
        <v>Mayor exposición de la Lotería al riesgo de LA/FT/FPADM.
Deterioro de los procesos operativos.
Pérdida de reputación.
Procesos judiciales, disciplinarios y/o legales.
Sanciones del supervisor, regulador y/o entes de control.
Pérdida de mercado.
Evento de contagio que afecte a la Lotería por el efecto rebote.</v>
      </c>
      <c r="P89" s="73"/>
      <c r="Q89" s="90"/>
      <c r="R89" s="90"/>
      <c r="S89" s="90"/>
      <c r="T89" s="90"/>
      <c r="U89" s="91"/>
      <c r="V89" s="77"/>
      <c r="W89" s="78"/>
      <c r="X89" s="79"/>
      <c r="AB89" s="23"/>
      <c r="AC89" s="23"/>
      <c r="AH89" s="3"/>
    </row>
  </sheetData>
  <autoFilter ref="B1:AH89"/>
  <dataConsolidate/>
  <conditionalFormatting sqref="Z17:AB17">
    <cfRule type="cellIs" dxfId="181" priority="81" operator="equal">
      <formula>0</formula>
    </cfRule>
  </conditionalFormatting>
  <conditionalFormatting sqref="W2 W6:W18 W22:W89">
    <cfRule type="cellIs" dxfId="180" priority="77" operator="equal">
      <formula>"BAJO"</formula>
    </cfRule>
    <cfRule type="cellIs" dxfId="179" priority="78" operator="equal">
      <formula>"MEDIO"</formula>
    </cfRule>
    <cfRule type="cellIs" dxfId="178" priority="79" operator="equal">
      <formula>"EXTREMO"</formula>
    </cfRule>
    <cfRule type="cellIs" dxfId="177" priority="80" operator="equal">
      <formula>"ALTO"</formula>
    </cfRule>
  </conditionalFormatting>
  <conditionalFormatting sqref="W6:W18 W22:W89 W2">
    <cfRule type="cellIs" dxfId="176" priority="73" operator="equal">
      <formula>"BAJO"</formula>
    </cfRule>
    <cfRule type="cellIs" dxfId="175" priority="74" operator="equal">
      <formula>"MEDIO"</formula>
    </cfRule>
    <cfRule type="cellIs" dxfId="174" priority="75" operator="equal">
      <formula>"EXTREMO"</formula>
    </cfRule>
    <cfRule type="cellIs" dxfId="173" priority="76" operator="equal">
      <formula>"ALTO"</formula>
    </cfRule>
  </conditionalFormatting>
  <conditionalFormatting sqref="W3:W5">
    <cfRule type="cellIs" dxfId="172" priority="68" operator="equal">
      <formula>"BAJO"</formula>
    </cfRule>
    <cfRule type="cellIs" dxfId="171" priority="69" operator="equal">
      <formula>"MEDIO"</formula>
    </cfRule>
    <cfRule type="cellIs" dxfId="170" priority="70" operator="equal">
      <formula>"EXTREMO"</formula>
    </cfRule>
    <cfRule type="cellIs" dxfId="169" priority="71" operator="equal">
      <formula>"ALTO"</formula>
    </cfRule>
  </conditionalFormatting>
  <conditionalFormatting sqref="W3:W5">
    <cfRule type="cellIs" dxfId="168" priority="64" operator="equal">
      <formula>"BAJO"</formula>
    </cfRule>
    <cfRule type="cellIs" dxfId="167" priority="65" operator="equal">
      <formula>"MEDIO"</formula>
    </cfRule>
    <cfRule type="cellIs" dxfId="166" priority="66" operator="equal">
      <formula>"EXTREMO"</formula>
    </cfRule>
    <cfRule type="cellIs" dxfId="165" priority="67" operator="equal">
      <formula>"ALTO"</formula>
    </cfRule>
  </conditionalFormatting>
  <conditionalFormatting sqref="E3:E5">
    <cfRule type="duplicateValues" dxfId="164" priority="72"/>
  </conditionalFormatting>
  <conditionalFormatting sqref="E6:E10">
    <cfRule type="duplicateValues" dxfId="163" priority="63"/>
  </conditionalFormatting>
  <conditionalFormatting sqref="E17">
    <cfRule type="duplicateValues" dxfId="162" priority="62"/>
  </conditionalFormatting>
  <conditionalFormatting sqref="W17">
    <cfRule type="cellIs" dxfId="161" priority="58" operator="equal">
      <formula>"BAJO"</formula>
    </cfRule>
    <cfRule type="cellIs" dxfId="160" priority="59" operator="equal">
      <formula>"MEDIO"</formula>
    </cfRule>
    <cfRule type="cellIs" dxfId="159" priority="60" operator="equal">
      <formula>"EXTREMO"</formula>
    </cfRule>
    <cfRule type="cellIs" dxfId="158" priority="61" operator="equal">
      <formula>"ALTO"</formula>
    </cfRule>
  </conditionalFormatting>
  <conditionalFormatting sqref="W17">
    <cfRule type="cellIs" dxfId="157" priority="54" operator="equal">
      <formula>"BAJO"</formula>
    </cfRule>
    <cfRule type="cellIs" dxfId="156" priority="55" operator="equal">
      <formula>"MEDIO"</formula>
    </cfRule>
    <cfRule type="cellIs" dxfId="155" priority="56" operator="equal">
      <formula>"EXTREMO"</formula>
    </cfRule>
    <cfRule type="cellIs" dxfId="154" priority="57" operator="equal">
      <formula>"ALTO"</formula>
    </cfRule>
  </conditionalFormatting>
  <conditionalFormatting sqref="E18">
    <cfRule type="duplicateValues" dxfId="153" priority="53"/>
  </conditionalFormatting>
  <conditionalFormatting sqref="W21">
    <cfRule type="cellIs" dxfId="152" priority="49" operator="equal">
      <formula>"BAJO"</formula>
    </cfRule>
    <cfRule type="cellIs" dxfId="151" priority="50" operator="equal">
      <formula>"MEDIO"</formula>
    </cfRule>
    <cfRule type="cellIs" dxfId="150" priority="51" operator="equal">
      <formula>"EXTREMO"</formula>
    </cfRule>
    <cfRule type="cellIs" dxfId="149" priority="52" operator="equal">
      <formula>"ALTO"</formula>
    </cfRule>
  </conditionalFormatting>
  <conditionalFormatting sqref="W21">
    <cfRule type="cellIs" dxfId="148" priority="45" operator="equal">
      <formula>"BAJO"</formula>
    </cfRule>
    <cfRule type="cellIs" dxfId="147" priority="46" operator="equal">
      <formula>"MEDIO"</formula>
    </cfRule>
    <cfRule type="cellIs" dxfId="146" priority="47" operator="equal">
      <formula>"EXTREMO"</formula>
    </cfRule>
    <cfRule type="cellIs" dxfId="145" priority="48" operator="equal">
      <formula>"ALTO"</formula>
    </cfRule>
  </conditionalFormatting>
  <conditionalFormatting sqref="W19">
    <cfRule type="cellIs" dxfId="144" priority="40" operator="equal">
      <formula>"BAJO"</formula>
    </cfRule>
    <cfRule type="cellIs" dxfId="143" priority="41" operator="equal">
      <formula>"MEDIO"</formula>
    </cfRule>
    <cfRule type="cellIs" dxfId="142" priority="42" operator="equal">
      <formula>"EXTREMO"</formula>
    </cfRule>
    <cfRule type="cellIs" dxfId="141" priority="43" operator="equal">
      <formula>"ALTO"</formula>
    </cfRule>
  </conditionalFormatting>
  <conditionalFormatting sqref="W19">
    <cfRule type="cellIs" dxfId="140" priority="36" operator="equal">
      <formula>"BAJO"</formula>
    </cfRule>
    <cfRule type="cellIs" dxfId="139" priority="37" operator="equal">
      <formula>"MEDIO"</formula>
    </cfRule>
    <cfRule type="cellIs" dxfId="138" priority="38" operator="equal">
      <formula>"EXTREMO"</formula>
    </cfRule>
    <cfRule type="cellIs" dxfId="137" priority="39" operator="equal">
      <formula>"ALTO"</formula>
    </cfRule>
  </conditionalFormatting>
  <conditionalFormatting sqref="E19">
    <cfRule type="duplicateValues" dxfId="136" priority="44"/>
  </conditionalFormatting>
  <conditionalFormatting sqref="W20">
    <cfRule type="cellIs" dxfId="135" priority="32" operator="equal">
      <formula>"BAJO"</formula>
    </cfRule>
    <cfRule type="cellIs" dxfId="134" priority="33" operator="equal">
      <formula>"MEDIO"</formula>
    </cfRule>
    <cfRule type="cellIs" dxfId="133" priority="34" operator="equal">
      <formula>"EXTREMO"</formula>
    </cfRule>
    <cfRule type="cellIs" dxfId="132" priority="35" operator="equal">
      <formula>"ALTO"</formula>
    </cfRule>
  </conditionalFormatting>
  <conditionalFormatting sqref="W20">
    <cfRule type="cellIs" dxfId="131" priority="28" operator="equal">
      <formula>"BAJO"</formula>
    </cfRule>
    <cfRule type="cellIs" dxfId="130" priority="29" operator="equal">
      <formula>"MEDIO"</formula>
    </cfRule>
    <cfRule type="cellIs" dxfId="129" priority="30" operator="equal">
      <formula>"EXTREMO"</formula>
    </cfRule>
    <cfRule type="cellIs" dxfId="128" priority="31" operator="equal">
      <formula>"ALTO"</formula>
    </cfRule>
  </conditionalFormatting>
  <conditionalFormatting sqref="E32">
    <cfRule type="duplicateValues" dxfId="127" priority="27"/>
  </conditionalFormatting>
  <conditionalFormatting sqref="E2 E10:E12 E14:E16">
    <cfRule type="duplicateValues" dxfId="126" priority="82"/>
  </conditionalFormatting>
  <conditionalFormatting sqref="E13">
    <cfRule type="duplicateValues" dxfId="125" priority="26"/>
  </conditionalFormatting>
  <conditionalFormatting sqref="E38">
    <cfRule type="duplicateValues" dxfId="124" priority="25"/>
  </conditionalFormatting>
  <conditionalFormatting sqref="E39">
    <cfRule type="duplicateValues" dxfId="123" priority="24"/>
  </conditionalFormatting>
  <conditionalFormatting sqref="E53">
    <cfRule type="duplicateValues" dxfId="122" priority="23"/>
  </conditionalFormatting>
  <conditionalFormatting sqref="E52">
    <cfRule type="duplicateValues" dxfId="121" priority="83"/>
  </conditionalFormatting>
  <conditionalFormatting sqref="E55">
    <cfRule type="duplicateValues" dxfId="120" priority="22"/>
  </conditionalFormatting>
  <conditionalFormatting sqref="E61">
    <cfRule type="duplicateValues" dxfId="119" priority="21"/>
  </conditionalFormatting>
  <conditionalFormatting sqref="E62">
    <cfRule type="duplicateValues" dxfId="118" priority="20"/>
  </conditionalFormatting>
  <conditionalFormatting sqref="E63">
    <cfRule type="duplicateValues" dxfId="117" priority="19"/>
  </conditionalFormatting>
  <conditionalFormatting sqref="E64">
    <cfRule type="duplicateValues" dxfId="116" priority="18"/>
  </conditionalFormatting>
  <conditionalFormatting sqref="E57">
    <cfRule type="duplicateValues" dxfId="115" priority="17"/>
  </conditionalFormatting>
  <conditionalFormatting sqref="E58">
    <cfRule type="duplicateValues" dxfId="114" priority="16"/>
  </conditionalFormatting>
  <conditionalFormatting sqref="E59">
    <cfRule type="duplicateValues" dxfId="113" priority="15"/>
  </conditionalFormatting>
  <conditionalFormatting sqref="E56">
    <cfRule type="duplicateValues" dxfId="112" priority="84"/>
  </conditionalFormatting>
  <conditionalFormatting sqref="E60">
    <cfRule type="duplicateValues" dxfId="111" priority="14"/>
  </conditionalFormatting>
  <conditionalFormatting sqref="E65">
    <cfRule type="duplicateValues" dxfId="110" priority="13"/>
  </conditionalFormatting>
  <conditionalFormatting sqref="E66:E67">
    <cfRule type="duplicateValues" dxfId="109" priority="12"/>
  </conditionalFormatting>
  <conditionalFormatting sqref="E36">
    <cfRule type="duplicateValues" dxfId="108" priority="11"/>
  </conditionalFormatting>
  <conditionalFormatting sqref="E69">
    <cfRule type="duplicateValues" dxfId="107" priority="10"/>
  </conditionalFormatting>
  <conditionalFormatting sqref="E20:E31 E33:E35 E40:E51 E54 E37">
    <cfRule type="duplicateValues" dxfId="106" priority="85"/>
  </conditionalFormatting>
  <conditionalFormatting sqref="E79:E80">
    <cfRule type="duplicateValues" dxfId="105" priority="9"/>
  </conditionalFormatting>
  <conditionalFormatting sqref="E81:E82">
    <cfRule type="duplicateValues" dxfId="104" priority="8"/>
  </conditionalFormatting>
  <conditionalFormatting sqref="E83:E85">
    <cfRule type="duplicateValues" dxfId="103" priority="7"/>
  </conditionalFormatting>
  <conditionalFormatting sqref="E86:E87">
    <cfRule type="duplicateValues" dxfId="102" priority="6"/>
  </conditionalFormatting>
  <conditionalFormatting sqref="E88:E89">
    <cfRule type="duplicateValues" dxfId="101" priority="5"/>
  </conditionalFormatting>
  <conditionalFormatting sqref="E90:F1048576">
    <cfRule type="duplicateValues" dxfId="100" priority="86"/>
  </conditionalFormatting>
  <conditionalFormatting sqref="E68">
    <cfRule type="duplicateValues" dxfId="99" priority="87"/>
  </conditionalFormatting>
  <conditionalFormatting sqref="E70:E78">
    <cfRule type="duplicateValues" dxfId="98" priority="88"/>
  </conditionalFormatting>
  <conditionalFormatting sqref="W1">
    <cfRule type="cellIs" dxfId="97" priority="1" operator="equal">
      <formula>"BAJO"</formula>
    </cfRule>
    <cfRule type="cellIs" dxfId="96" priority="2" operator="equal">
      <formula>"MEDIO"</formula>
    </cfRule>
    <cfRule type="cellIs" dxfId="95" priority="3" operator="equal">
      <formula>"EXTREMO"</formula>
    </cfRule>
    <cfRule type="cellIs" dxfId="94" priority="4" operator="equal">
      <formula>"ALTO"</formula>
    </cfRule>
  </conditionalFormatting>
  <dataValidations count="6">
    <dataValidation type="list" operator="greaterThanOrEqual" allowBlank="1" showInputMessage="1" showErrorMessage="1" sqref="Q90:U1048576 Q2:T89">
      <formula1>"0,1,2,3,4,5"</formula1>
    </dataValidation>
    <dataValidation type="list" allowBlank="1" showInputMessage="1" showErrorMessage="1" sqref="C90:C1048576">
      <formula1>$C$1:$C$1</formula1>
    </dataValidation>
    <dataValidation type="list" allowBlank="1" showInputMessage="1" showErrorMessage="1" sqref="D90:D1048576">
      <formula1>$E$1:$E$1</formula1>
    </dataValidation>
    <dataValidation operator="greaterThanOrEqual" allowBlank="1" showInputMessage="1" showErrorMessage="1" sqref="U2:U89"/>
    <dataValidation type="list" allowBlank="1" showInputMessage="1" showErrorMessage="1" sqref="J2:M89">
      <formula1>"X"</formula1>
    </dataValidation>
    <dataValidation type="list" allowBlank="1" showInputMessage="1" showErrorMessage="1" sqref="P2:P89 V90:W1048576">
      <formula1>"1,2,3,4,5"</formula1>
    </dataValidation>
  </dataValidations>
  <pageMargins left="0.70866141732283472" right="0.70866141732283472" top="0.74803149606299213"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Tablas1!$E$3:$E$28</xm:f>
          </x14:formula1>
          <xm:sqref>D88:D89</xm:sqref>
        </x14:dataValidation>
        <x14:dataValidation type="list" allowBlank="1" showInputMessage="1" showErrorMessage="1">
          <x14:formula1>
            <xm:f>Tablas1!$E$3:$E$27</xm:f>
          </x14:formula1>
          <xm:sqref>D2:D87</xm:sqref>
        </x14:dataValidation>
        <x14:dataValidation type="list" allowBlank="1" showInputMessage="1" showErrorMessage="1">
          <x14:formula1>
            <xm:f>Tablas1!$I$3:$I$12</xm:f>
          </x14:formula1>
          <xm:sqref>H90:H1048576</xm:sqref>
        </x14:dataValidation>
        <x14:dataValidation type="custom" allowBlank="1" showInputMessage="1" showErrorMessage="1">
          <x14:formula1>
            <xm:f>IFERROR(VLOOKUP(#REF!,Tablas1!$H$2:$I$12,2,0),"ERROR")</xm:f>
          </x14:formula1>
          <xm:sqref>H2:H89</xm:sqref>
        </x14:dataValidation>
        <x14:dataValidation type="list" allowBlank="1" showInputMessage="1" showErrorMessage="1">
          <x14:formula1>
            <xm:f>Tablas1!$H$3:$H$12</xm:f>
          </x14:formula1>
          <xm:sqref>F2:F1048576</xm:sqref>
        </x14:dataValidation>
        <x14:dataValidation type="list" allowBlank="1" showInputMessage="1" showErrorMessage="1">
          <x14:formula1>
            <xm:f>Tablas1!$C$3:$C$22</xm:f>
          </x14:formula1>
          <xm:sqref>G90:G1048576</xm:sqref>
        </x14:dataValidation>
        <x14:dataValidation type="list" allowBlank="1" showInputMessage="1" showErrorMessage="1">
          <x14:formula1>
            <xm:f>Tablas1!$B$3:$B$22</xm:f>
          </x14:formula1>
          <xm:sqref>C2:C89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4:M21"/>
  <sheetViews>
    <sheetView showGridLines="0" zoomScaleNormal="100" workbookViewId="0">
      <selection activeCell="F14" sqref="F14"/>
    </sheetView>
  </sheetViews>
  <sheetFormatPr baseColWidth="10" defaultColWidth="11.5546875" defaultRowHeight="14.4" x14ac:dyDescent="0.3"/>
  <cols>
    <col min="2" max="2" width="47.77734375" style="14" customWidth="1"/>
    <col min="3" max="3" width="18.77734375" bestFit="1" customWidth="1"/>
    <col min="4" max="4" width="19.5546875" bestFit="1" customWidth="1"/>
    <col min="5" max="5" width="16.44140625" customWidth="1"/>
    <col min="6" max="6" width="19.5546875" customWidth="1"/>
    <col min="8" max="8" width="30.5546875" customWidth="1"/>
    <col min="9" max="9" width="16.44140625" customWidth="1"/>
    <col min="10" max="10" width="16.77734375" customWidth="1"/>
    <col min="12" max="12" width="22.21875" customWidth="1"/>
    <col min="13" max="13" width="14.77734375" customWidth="1"/>
  </cols>
  <sheetData>
    <row r="4" spans="2:13" x14ac:dyDescent="0.3">
      <c r="C4" s="195"/>
      <c r="D4" s="195"/>
      <c r="E4" s="195"/>
      <c r="F4" s="195"/>
    </row>
    <row r="5" spans="2:13" ht="30" customHeight="1" x14ac:dyDescent="0.3">
      <c r="B5" s="129" t="s">
        <v>7</v>
      </c>
      <c r="C5" s="130" t="s">
        <v>21</v>
      </c>
      <c r="D5" s="130" t="s">
        <v>86</v>
      </c>
      <c r="E5" s="130" t="s">
        <v>87</v>
      </c>
      <c r="F5" s="131" t="s">
        <v>88</v>
      </c>
      <c r="H5" s="69" t="s">
        <v>271</v>
      </c>
      <c r="I5" s="69" t="s">
        <v>94</v>
      </c>
      <c r="J5" s="70" t="s">
        <v>193</v>
      </c>
      <c r="L5" s="70" t="s">
        <v>425</v>
      </c>
      <c r="M5" s="70" t="s">
        <v>95</v>
      </c>
    </row>
    <row r="6" spans="2:13" ht="30" customHeight="1" x14ac:dyDescent="0.3">
      <c r="B6" s="80" t="s">
        <v>435</v>
      </c>
      <c r="C6" s="126">
        <f ca="1">IFERROR(AVERAGEIF('R I'!$G$6:$G$1048576,Tableau11[[#This Row],[FACTOR DE RIESGO]],'R I'!Q$7:Q$1048576),"")</f>
        <v>2</v>
      </c>
      <c r="D6" s="126">
        <f ca="1">IFERROR(AVERAGEIF('R I'!$G$6:$G$1048576,Tableau11[[#This Row],[FACTOR DE RIESGO]],'R I'!AA$7:AA$1048576),"")</f>
        <v>3.5</v>
      </c>
      <c r="E6" s="126">
        <f ca="1">IFERROR(ROUND(C6*D6,0),"")</f>
        <v>7</v>
      </c>
      <c r="F6" s="18" t="str">
        <f t="shared" ref="F6:F10" ca="1" si="0">IF(AND(E6&gt;0,E6&lt;8),"BAJO",IF(AND(E6&gt;=8,E6&lt;14),"MEDIO",IF(AND(E6&gt;=14,E6&lt;20),"ALTO",IF(AND(E6&gt;=20,E6&lt;26),"EXTREMO",""))))</f>
        <v>BAJO</v>
      </c>
      <c r="G6" s="19"/>
      <c r="H6" s="80" t="str">
        <f>Tablas1!B3</f>
        <v>Control Interno Disciplinario</v>
      </c>
      <c r="I6" s="126">
        <f>IFERROR(AVERAGEIF('R I'!$C$7:$C$1048576,Tableau10[[#This Row],[Procesos/Áreas de Práctica]],'R I'!$Q$7:$Q$1048576),0)</f>
        <v>0</v>
      </c>
      <c r="J6" s="126">
        <f>IFERROR(AVERAGEIF('R I'!$C$7:$C$1048576,Tableau10[[#This Row],[Procesos/Áreas de Práctica]],'R I'!$AA$7:$AA$1048576),0)</f>
        <v>0</v>
      </c>
      <c r="L6" s="80" t="str">
        <f>Tablas1!B24</f>
        <v>Riesgo de Contagio</v>
      </c>
      <c r="M6" s="126">
        <f>IFERROR(AVERAGE('R I'!$W$7:$W$1048576),0)</f>
        <v>2.9333333333333331</v>
      </c>
    </row>
    <row r="7" spans="2:13" ht="30" customHeight="1" x14ac:dyDescent="0.3">
      <c r="B7" s="35" t="s">
        <v>243</v>
      </c>
      <c r="C7" s="126">
        <f ca="1">IFERROR(AVERAGEIF('R I'!$G$6:$G$1048576,Tableau11[[#This Row],[FACTOR DE RIESGO]],'R I'!Q$7:Q$1048576),"")</f>
        <v>3</v>
      </c>
      <c r="D7" s="126">
        <f ca="1">IFERROR(AVERAGEIF('R I'!$G$6:$G$1048576,Tableau11[[#This Row],[FACTOR DE RIESGO]],'R I'!AA$7:AA$1048576),"")</f>
        <v>3</v>
      </c>
      <c r="E7" s="126">
        <f t="shared" ref="E7:E10" ca="1" si="1">IFERROR(ROUND(C7*D7,0),"")</f>
        <v>9</v>
      </c>
      <c r="F7" s="18" t="str">
        <f t="shared" ca="1" si="0"/>
        <v>MEDIO</v>
      </c>
      <c r="H7" s="80" t="str">
        <f>Tablas1!B4</f>
        <v>Gestión Financiera y Contable</v>
      </c>
      <c r="I7" s="126">
        <f>IFERROR(AVERAGEIF('R I'!$C$7:$C$1048576,Tableau10[[#This Row],[Procesos/Áreas de Práctica]],'R I'!$Q$7:$Q$1048576),0)</f>
        <v>2.6666666666666665</v>
      </c>
      <c r="J7" s="126">
        <f>IFERROR(AVERAGEIF('R I'!$C$7:$C$1048576,Tableau10[[#This Row],[Procesos/Áreas de Práctica]],'R I'!$AA$7:$AA$1048576),0)</f>
        <v>3.0833333333333335</v>
      </c>
      <c r="L7" s="80" t="str">
        <f>Tablas1!B25</f>
        <v>Riesgo Legal</v>
      </c>
      <c r="M7" s="126">
        <f>IFERROR(AVERAGE('R I'!$X$7:$X$1048576),0)</f>
        <v>3.6</v>
      </c>
    </row>
    <row r="8" spans="2:13" ht="30" customHeight="1" x14ac:dyDescent="0.3">
      <c r="B8" s="35" t="s">
        <v>530</v>
      </c>
      <c r="C8" s="126">
        <f ca="1">IFERROR(AVERAGEIF('R I'!$G$6:$G$1048576,Tableau11[[#This Row],[FACTOR DE RIESGO]],'R I'!Q$7:Q$1048576),"")</f>
        <v>2.4</v>
      </c>
      <c r="D8" s="126">
        <f ca="1">IFERROR(AVERAGEIF('R I'!$G$6:$G$1048576,Tableau11[[#This Row],[FACTOR DE RIESGO]],'R I'!AA$7:AA$1048576),"")</f>
        <v>3.2666666666666666</v>
      </c>
      <c r="E8" s="126">
        <f t="shared" ca="1" si="1"/>
        <v>8</v>
      </c>
      <c r="F8" s="18" t="str">
        <f t="shared" ca="1" si="0"/>
        <v>MEDIO</v>
      </c>
      <c r="H8" s="80" t="str">
        <f>Tablas1!B5</f>
        <v>Evaluación Independiente y Control a la Gestión</v>
      </c>
      <c r="I8" s="126">
        <f>IFERROR(AVERAGEIF('R I'!$C$7:$C$1048576,Tableau10[[#This Row],[Procesos/Áreas de Práctica]],'R I'!$Q$7:$Q$1048576),0)</f>
        <v>0</v>
      </c>
      <c r="J8" s="126">
        <f>IFERROR(AVERAGEIF('R I'!$C$7:$C$1048576,Tableau10[[#This Row],[Procesos/Áreas de Práctica]],'R I'!$AA$7:$AA$1048576),0)</f>
        <v>0</v>
      </c>
      <c r="L8" s="80" t="str">
        <f>Tablas1!B26</f>
        <v>Riesgo Reputacional</v>
      </c>
      <c r="M8" s="126">
        <f>IFERROR(AVERAGE('R I'!$Y$7:$Y$1048576),0)</f>
        <v>3.7333333333333334</v>
      </c>
    </row>
    <row r="9" spans="2:13" ht="30" customHeight="1" x14ac:dyDescent="0.3">
      <c r="B9" s="35" t="s">
        <v>242</v>
      </c>
      <c r="C9" s="126">
        <f ca="1">IFERROR(AVERAGEIF('R I'!$G$6:$G$1048576,Tableau11[[#This Row],[FACTOR DE RIESGO]],'R I'!Q$7:Q$1048576),"")</f>
        <v>3</v>
      </c>
      <c r="D9" s="126">
        <f ca="1">IFERROR(AVERAGEIF('R I'!$G$6:$G$1048576,Tableau11[[#This Row],[FACTOR DE RIESGO]],'R I'!AA$7:AA$1048576),"")</f>
        <v>3.75</v>
      </c>
      <c r="E9" s="126">
        <f t="shared" ca="1" si="1"/>
        <v>11</v>
      </c>
      <c r="F9" s="18" t="str">
        <f ca="1">IF(AND(E9&gt;0,E9&lt;8),"BAJO",IF(AND(E9&gt;=8,E9&lt;14),"MEDIO",IF(AND(E9&gt;=14,E9&lt;20),"ALTO",IF(AND(E9&gt;=20,E9&lt;26),"EXTREMO",""))))</f>
        <v>MEDIO</v>
      </c>
      <c r="H9" s="80" t="str">
        <f>Tablas1!B6</f>
        <v>Atención y Servicio al Cliente</v>
      </c>
      <c r="I9" s="126">
        <f>IFERROR(AVERAGEIF('R I'!$C$7:$C$1048576,Tableau10[[#This Row],[Procesos/Áreas de Práctica]],'R I'!$Q$7:$Q$1048576),0)</f>
        <v>0</v>
      </c>
      <c r="J9" s="126">
        <f>IFERROR(AVERAGEIF('R I'!$C$7:$C$1048576,Tableau10[[#This Row],[Procesos/Áreas de Práctica]],'R I'!$AA$7:$AA$1048576),0)</f>
        <v>0</v>
      </c>
      <c r="L9" s="80" t="str">
        <f>Tablas1!B27</f>
        <v>Riesgo Operativo</v>
      </c>
      <c r="M9" s="126">
        <f>IFERROR(AVERAGE('R I'!$Z$7:$Z$1048576),0)</f>
        <v>3</v>
      </c>
    </row>
    <row r="10" spans="2:13" ht="30" customHeight="1" x14ac:dyDescent="0.3">
      <c r="B10" s="35" t="s">
        <v>563</v>
      </c>
      <c r="C10" s="126">
        <f ca="1">IFERROR(AVERAGEIF('R I'!$G$6:$G$1048576,Tableau11[[#This Row],[FACTOR DE RIESGO]],'R I'!Q$7:Q$1048576),"")</f>
        <v>4</v>
      </c>
      <c r="D10" s="126">
        <f ca="1">IFERROR(AVERAGEIF('R I'!$G$6:$G$1048576,Tableau11[[#This Row],[FACTOR DE RIESGO]],'R I'!AA$7:AA$1048576),"")</f>
        <v>4</v>
      </c>
      <c r="E10" s="126">
        <f t="shared" ca="1" si="1"/>
        <v>16</v>
      </c>
      <c r="F10" s="18" t="str">
        <f t="shared" ca="1" si="0"/>
        <v>ALTO</v>
      </c>
      <c r="H10" s="80" t="str">
        <f>Tablas1!B7</f>
        <v xml:space="preserve">Explotación de JSA </v>
      </c>
      <c r="I10" s="126">
        <f>IFERROR(AVERAGEIF('R I'!$C$7:$C$1048576,Tableau10[[#This Row],[Procesos/Áreas de Práctica]],'R I'!$Q$7:$Q$1048576),0)</f>
        <v>4</v>
      </c>
      <c r="J10" s="126">
        <f>IFERROR(AVERAGEIF('R I'!$C$7:$C$1048576,Tableau10[[#This Row],[Procesos/Áreas de Práctica]],'R I'!$AA$7:$AA$1048576),0)</f>
        <v>4.75</v>
      </c>
      <c r="L10" s="80"/>
      <c r="M10" s="126"/>
    </row>
    <row r="11" spans="2:13" ht="30" customHeight="1" x14ac:dyDescent="0.3">
      <c r="H11" s="80" t="str">
        <f>Tablas1!B8</f>
        <v>Gestión de Bienes y Servicios</v>
      </c>
      <c r="I11" s="126">
        <f>IFERROR(AVERAGEIF('R I'!$C$7:$C$1048576,Tableau10[[#This Row],[Procesos/Áreas de Práctica]],'R I'!$Q$7:$Q$1048576),0)</f>
        <v>0</v>
      </c>
      <c r="J11" s="126">
        <f>IFERROR(AVERAGEIF('R I'!$C$7:$C$1048576,Tableau10[[#This Row],[Procesos/Áreas de Práctica]],'R I'!$AA$7:$AA$1048576),0)</f>
        <v>0</v>
      </c>
      <c r="L11" s="80"/>
      <c r="M11" s="126"/>
    </row>
    <row r="12" spans="2:13" ht="30" customHeight="1" x14ac:dyDescent="0.3">
      <c r="H12" s="80" t="str">
        <f>Tablas1!B9</f>
        <v>Gestión de Comunicaciones</v>
      </c>
      <c r="I12" s="126">
        <f>IFERROR(AVERAGEIF('R I'!$C$7:$C$1048576,Tableau10[[#This Row],[Procesos/Áreas de Práctica]],'R I'!$Q$7:$Q$1048576),0)</f>
        <v>3</v>
      </c>
      <c r="J12" s="126">
        <f>IFERROR(AVERAGEIF('R I'!$C$7:$C$1048576,Tableau10[[#This Row],[Procesos/Áreas de Práctica]],'R I'!$AA$7:$AA$1048576),0)</f>
        <v>2.75</v>
      </c>
      <c r="L12" s="80"/>
      <c r="M12" s="126"/>
    </row>
    <row r="13" spans="2:13" ht="30" customHeight="1" x14ac:dyDescent="0.3">
      <c r="H13" s="80" t="str">
        <f>Tablas1!B10</f>
        <v>Gestión de Talento Humano</v>
      </c>
      <c r="I13" s="126">
        <f>IFERROR(AVERAGEIF('R I'!$C$7:$C$1048576,Tableau10[[#This Row],[Procesos/Áreas de Práctica]],'R I'!$Q$7:$Q$1048576),0)</f>
        <v>0</v>
      </c>
      <c r="J13" s="126">
        <f>IFERROR(AVERAGEIF('R I'!$C$7:$C$1048576,Tableau10[[#This Row],[Procesos/Áreas de Práctica]],'R I'!$AA$7:$AA$1048576),0)</f>
        <v>0</v>
      </c>
      <c r="L13" s="80"/>
      <c r="M13" s="126"/>
    </row>
    <row r="14" spans="2:13" ht="30" customHeight="1" x14ac:dyDescent="0.3">
      <c r="H14" s="80" t="str">
        <f>Tablas1!B11</f>
        <v>Gestión Documental</v>
      </c>
      <c r="I14" s="126">
        <f>IFERROR(AVERAGEIF('R I'!$C$7:$C$1048576,Tableau10[[#This Row],[Procesos/Áreas de Práctica]],'R I'!$Q$7:$Q$1048576),0)</f>
        <v>0</v>
      </c>
      <c r="J14" s="126">
        <f>IFERROR(AVERAGEIF('R I'!$C$7:$C$1048576,Tableau10[[#This Row],[Procesos/Áreas de Práctica]],'R I'!$AA$7:$AA$1048576),0)</f>
        <v>0</v>
      </c>
      <c r="L14" s="80"/>
      <c r="M14" s="126"/>
    </row>
    <row r="15" spans="2:13" ht="30" customHeight="1" x14ac:dyDescent="0.3">
      <c r="H15" s="80" t="str">
        <f>Tablas1!B12</f>
        <v>Control Inspección y Fiscalización</v>
      </c>
      <c r="I15" s="126">
        <f>IFERROR(AVERAGEIF('R I'!$C$7:$C$1048576,Tableau10[[#This Row],[Procesos/Áreas de Práctica]],'R I'!$Q$7:$Q$1048576),0)</f>
        <v>0</v>
      </c>
      <c r="J15" s="126">
        <f>IFERROR(AVERAGEIF('R I'!$C$7:$C$1048576,Tableau10[[#This Row],[Procesos/Áreas de Práctica]],'R I'!$AA$7:$AA$1048576),0)</f>
        <v>0</v>
      </c>
      <c r="L15" s="80"/>
      <c r="M15" s="126"/>
    </row>
    <row r="16" spans="2:13" ht="30" customHeight="1" x14ac:dyDescent="0.3">
      <c r="H16" s="80" t="str">
        <f>Tablas1!B13</f>
        <v>Gestión Jurídica</v>
      </c>
      <c r="I16" s="126">
        <f>IFERROR(AVERAGEIF('R I'!$C$7:$C$1048576,Tableau10[[#This Row],[Procesos/Áreas de Práctica]],'R I'!$Q$7:$Q$1048576),0)</f>
        <v>0</v>
      </c>
      <c r="J16" s="126">
        <f>IFERROR(AVERAGEIF('R I'!$C$7:$C$1048576,Tableau10[[#This Row],[Procesos/Áreas de Práctica]],'R I'!$AA$7:$AA$1048576),0)</f>
        <v>0</v>
      </c>
      <c r="L16" s="80"/>
      <c r="M16" s="126"/>
    </row>
    <row r="17" spans="8:13" ht="30" customHeight="1" x14ac:dyDescent="0.3">
      <c r="H17" s="80" t="str">
        <f>Tablas1!B14</f>
        <v>Gestión de las Tecnologías y la Información</v>
      </c>
      <c r="I17" s="126">
        <f>IFERROR(AVERAGEIF('R I'!$C$7:$C$1048576,Tableau10[[#This Row],[Procesos/Áreas de Práctica]],'R I'!$Q$7:$Q$1048576),0)</f>
        <v>3.5</v>
      </c>
      <c r="J17" s="126">
        <f>IFERROR(AVERAGEIF('R I'!$C$7:$C$1048576,Tableau10[[#This Row],[Procesos/Áreas de Práctica]],'R I'!$AA$7:$AA$1048576),0)</f>
        <v>3.5</v>
      </c>
      <c r="L17" s="80"/>
      <c r="M17" s="126"/>
    </row>
    <row r="18" spans="8:13" ht="30" customHeight="1" x14ac:dyDescent="0.3">
      <c r="H18" s="135" t="str">
        <f>Tablas1!B15</f>
        <v>Planeación y Direccionamiento Estratégico</v>
      </c>
      <c r="I18" s="126">
        <f>IFERROR(AVERAGEIF('R I'!$C$7:$C$1048576,Tableau10[[#This Row],[Procesos/Áreas de Práctica]],'R I'!$Q$7:$Q$1048576),0)</f>
        <v>2</v>
      </c>
      <c r="J18" s="126">
        <f>IFERROR(AVERAGEIF('R I'!$C$7:$C$1048576,Tableau10[[#This Row],[Procesos/Áreas de Práctica]],'R I'!$AA$7:$AA$1048576),0)</f>
        <v>3.333333333333333</v>
      </c>
      <c r="L18" s="80"/>
      <c r="M18" s="126"/>
    </row>
    <row r="19" spans="8:13" ht="30" customHeight="1" x14ac:dyDescent="0.3">
      <c r="H19" s="135" t="str">
        <f>Tablas1!B16</f>
        <v>Gestión de Recaudo</v>
      </c>
      <c r="I19" s="126">
        <f>IFERROR(AVERAGEIF('R I'!$C$7:$C$1048576,Tableau10[[#This Row],[Procesos/Áreas de Práctica]],'R I'!$Q$7:$Q$1048576),0)</f>
        <v>0</v>
      </c>
      <c r="J19" s="126">
        <f>IFERROR(AVERAGEIF('R I'!$C$7:$C$1048576,Tableau10[[#This Row],[Procesos/Áreas de Práctica]],'R I'!$AA$7:$AA$1048576),0)</f>
        <v>0</v>
      </c>
      <c r="L19" s="80"/>
      <c r="M19" s="126"/>
    </row>
    <row r="20" spans="8:13" ht="30" customHeight="1" x14ac:dyDescent="0.3">
      <c r="H20" s="135" t="str">
        <f>Tablas1!B17</f>
        <v>Gestión de LA/FT/FPADM</v>
      </c>
      <c r="I20" s="126">
        <f>IFERROR(AVERAGEIF('R I'!$C$7:$C$1048576,Tableau10[[#This Row],[Procesos/Áreas de Práctica]],'R I'!$Q$7:$Q$1048576),0)</f>
        <v>0</v>
      </c>
      <c r="J20" s="126">
        <f>IFERROR(AVERAGEIF('R I'!$C$7:$C$1048576,Tableau10[[#This Row],[Procesos/Áreas de Práctica]],'R I'!$AA$7:$AA$1048576),0)</f>
        <v>0</v>
      </c>
      <c r="L20" s="80"/>
      <c r="M20" s="126"/>
    </row>
    <row r="21" spans="8:13" x14ac:dyDescent="0.3">
      <c r="I21" s="61"/>
      <c r="J21" s="126"/>
    </row>
  </sheetData>
  <mergeCells count="1">
    <mergeCell ref="C4:F4"/>
  </mergeCells>
  <conditionalFormatting sqref="F6">
    <cfRule type="cellIs" dxfId="93" priority="193" operator="equal">
      <formula>"BAJO"</formula>
    </cfRule>
    <cfRule type="cellIs" dxfId="92" priority="194" operator="equal">
      <formula>"MEDIO"</formula>
    </cfRule>
    <cfRule type="cellIs" dxfId="91" priority="195" operator="equal">
      <formula>"EXTREMO"</formula>
    </cfRule>
    <cfRule type="cellIs" dxfId="90" priority="196" operator="equal">
      <formula>"ALTO"</formula>
    </cfRule>
  </conditionalFormatting>
  <conditionalFormatting sqref="F7">
    <cfRule type="cellIs" dxfId="89" priority="37" operator="equal">
      <formula>"BAJO"</formula>
    </cfRule>
    <cfRule type="cellIs" dxfId="88" priority="38" operator="equal">
      <formula>"MEDIO"</formula>
    </cfRule>
    <cfRule type="cellIs" dxfId="87" priority="39" operator="equal">
      <formula>"EXTREMO"</formula>
    </cfRule>
    <cfRule type="cellIs" dxfId="86" priority="40" operator="equal">
      <formula>"ALTO"</formula>
    </cfRule>
  </conditionalFormatting>
  <conditionalFormatting sqref="F8">
    <cfRule type="cellIs" dxfId="85" priority="29" operator="equal">
      <formula>"BAJO"</formula>
    </cfRule>
    <cfRule type="cellIs" dxfId="84" priority="30" operator="equal">
      <formula>"MEDIO"</formula>
    </cfRule>
    <cfRule type="cellIs" dxfId="83" priority="31" operator="equal">
      <formula>"EXTREMO"</formula>
    </cfRule>
    <cfRule type="cellIs" dxfId="82" priority="32" operator="equal">
      <formula>"ALTO"</formula>
    </cfRule>
  </conditionalFormatting>
  <conditionalFormatting sqref="F9">
    <cfRule type="cellIs" dxfId="81" priority="25" operator="equal">
      <formula>"BAJO"</formula>
    </cfRule>
    <cfRule type="cellIs" dxfId="80" priority="26" operator="equal">
      <formula>"MEDIO"</formula>
    </cfRule>
    <cfRule type="cellIs" dxfId="79" priority="27" operator="equal">
      <formula>"EXTREMO"</formula>
    </cfRule>
    <cfRule type="cellIs" dxfId="78" priority="28" operator="equal">
      <formula>"ALTO"</formula>
    </cfRule>
  </conditionalFormatting>
  <conditionalFormatting sqref="F10">
    <cfRule type="cellIs" dxfId="77" priority="21" operator="equal">
      <formula>"BAJO"</formula>
    </cfRule>
    <cfRule type="cellIs" dxfId="76" priority="22" operator="equal">
      <formula>"MEDIO"</formula>
    </cfRule>
    <cfRule type="cellIs" dxfId="75" priority="23" operator="equal">
      <formula>"EXTREMO"</formula>
    </cfRule>
    <cfRule type="cellIs" dxfId="74" priority="24" operator="equal">
      <formula>"ALTO"</formula>
    </cfRule>
  </conditionalFormatting>
  <conditionalFormatting sqref="F1:F1048576">
    <cfRule type="cellIs" dxfId="73" priority="15" operator="equal">
      <formula>"EXTREMO"</formula>
    </cfRule>
  </conditionalFormatting>
  <pageMargins left="0.7" right="0.7" top="0.75" bottom="0.75" header="0.3" footer="0.3"/>
  <pageSetup paperSize="9" orientation="portrait" r:id="rId1"/>
  <ignoredErrors>
    <ignoredError sqref="M6:M9" calculatedColumn="1"/>
  </ignoredErrors>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Tablas1!$H$3:$H$12</xm:f>
          </x14:formula1>
          <xm:sqref>B6:B10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V275"/>
  <sheetViews>
    <sheetView showGridLines="0" zoomScale="115" zoomScaleNormal="115" workbookViewId="0">
      <selection activeCell="B7" sqref="B7:B8"/>
    </sheetView>
  </sheetViews>
  <sheetFormatPr baseColWidth="10" defaultColWidth="11.21875" defaultRowHeight="13.8" x14ac:dyDescent="0.3"/>
  <cols>
    <col min="1" max="1" width="5.5546875" style="26" customWidth="1"/>
    <col min="2" max="2" width="13.77734375" style="25" customWidth="1"/>
    <col min="3" max="3" width="51.77734375" style="54" customWidth="1"/>
    <col min="4" max="4" width="59.21875" style="55" customWidth="1"/>
    <col min="5" max="5" width="41.77734375" style="27" customWidth="1"/>
    <col min="6" max="6" width="15.21875" style="27" customWidth="1"/>
    <col min="7" max="7" width="19.21875" style="25" customWidth="1"/>
    <col min="8" max="8" width="15.77734375" style="27" customWidth="1"/>
    <col min="9" max="9" width="13.77734375" style="27" customWidth="1"/>
    <col min="10" max="10" width="27.21875" style="27" customWidth="1"/>
    <col min="11" max="11" width="22" style="27" customWidth="1"/>
    <col min="12" max="13" width="27.21875" style="27" customWidth="1"/>
    <col min="14" max="14" width="30.21875" style="27" customWidth="1"/>
    <col min="15" max="15" width="18.21875" style="27" customWidth="1"/>
    <col min="16" max="16" width="21.21875" style="25" customWidth="1"/>
    <col min="17" max="17" width="18.77734375" style="25" customWidth="1"/>
    <col min="18" max="19" width="17" style="25" customWidth="1"/>
    <col min="20" max="20" width="18.77734375" style="27" customWidth="1"/>
    <col min="21" max="23" width="23.5546875" style="25" customWidth="1"/>
    <col min="24" max="24" width="20.21875" style="27" bestFit="1" customWidth="1"/>
    <col min="25" max="26" width="22.77734375" style="27" customWidth="1"/>
    <col min="27" max="27" width="22.77734375" style="27" hidden="1" customWidth="1"/>
    <col min="28" max="28" width="21.21875" style="27" bestFit="1" customWidth="1"/>
    <col min="29" max="29" width="14.77734375" style="27" bestFit="1" customWidth="1"/>
    <col min="30" max="30" width="14.77734375" style="27" customWidth="1"/>
    <col min="31" max="31" width="23.21875" style="27" customWidth="1"/>
    <col min="32" max="32" width="11.21875" style="26"/>
    <col min="33" max="33" width="25.21875" style="28" bestFit="1" customWidth="1"/>
    <col min="34" max="34" width="29.21875" style="28" bestFit="1" customWidth="1"/>
    <col min="35" max="35" width="3.77734375" style="28" customWidth="1"/>
    <col min="36" max="36" width="25.77734375" style="28" bestFit="1" customWidth="1"/>
    <col min="37" max="37" width="3.21875" style="28" customWidth="1"/>
    <col min="38" max="38" width="26.21875" style="28" customWidth="1"/>
    <col min="39" max="39" width="4.21875" style="28" customWidth="1"/>
    <col min="40" max="40" width="26.77734375" style="28" customWidth="1"/>
    <col min="41" max="41" width="16.21875" style="28" bestFit="1" customWidth="1"/>
    <col min="42" max="42" width="32.21875" style="28" customWidth="1"/>
    <col min="43" max="43" width="7.21875" style="26" customWidth="1"/>
    <col min="44" max="44" width="14.44140625" style="26" customWidth="1"/>
    <col min="45" max="45" width="7.21875" style="26" customWidth="1"/>
    <col min="46" max="46" width="23.21875" style="26" customWidth="1"/>
    <col min="47" max="47" width="18.21875" style="26" hidden="1" customWidth="1"/>
    <col min="48" max="16384" width="11.21875" style="26"/>
  </cols>
  <sheetData>
    <row r="1" spans="1:48" x14ac:dyDescent="0.3">
      <c r="C1" s="25"/>
      <c r="P1" s="27"/>
      <c r="Q1" s="27"/>
      <c r="R1" s="27"/>
      <c r="S1" s="27"/>
      <c r="U1" s="27"/>
      <c r="V1" s="27"/>
      <c r="W1" s="27"/>
    </row>
    <row r="2" spans="1:48" x14ac:dyDescent="0.3">
      <c r="P2" s="27"/>
      <c r="Q2" s="27"/>
      <c r="R2" s="27"/>
      <c r="S2" s="27"/>
      <c r="U2" s="27"/>
      <c r="V2" s="27"/>
      <c r="W2" s="27"/>
    </row>
    <row r="3" spans="1:48" x14ac:dyDescent="0.3">
      <c r="P3" s="27"/>
      <c r="Q3" s="27"/>
      <c r="R3" s="27"/>
      <c r="S3" s="27"/>
      <c r="U3" s="27"/>
      <c r="V3" s="27"/>
      <c r="W3" s="27"/>
    </row>
    <row r="4" spans="1:48" ht="5.25" customHeight="1" x14ac:dyDescent="0.3">
      <c r="P4" s="27"/>
      <c r="Q4" s="27"/>
      <c r="R4" s="27"/>
      <c r="S4" s="27"/>
      <c r="U4" s="27"/>
      <c r="V4" s="27"/>
      <c r="W4" s="27"/>
    </row>
    <row r="5" spans="1:48" ht="14.4" thickBot="1" x14ac:dyDescent="0.35">
      <c r="B5" s="207" t="s">
        <v>103</v>
      </c>
      <c r="C5" s="207"/>
      <c r="D5" s="207"/>
      <c r="E5" s="207"/>
      <c r="F5" s="207"/>
      <c r="G5" s="207"/>
      <c r="H5" s="207"/>
      <c r="I5" s="207"/>
      <c r="J5" s="207"/>
      <c r="K5" s="207"/>
      <c r="L5" s="207"/>
      <c r="M5" s="207"/>
      <c r="N5" s="204" t="s">
        <v>106</v>
      </c>
      <c r="O5" s="204"/>
      <c r="P5" s="207" t="s">
        <v>104</v>
      </c>
      <c r="Q5" s="207"/>
      <c r="R5" s="207"/>
      <c r="S5" s="207"/>
      <c r="T5" s="207"/>
      <c r="U5" s="207"/>
      <c r="V5" s="207"/>
      <c r="W5" s="207"/>
      <c r="X5" s="207"/>
      <c r="Y5" s="207"/>
      <c r="Z5" s="207"/>
      <c r="AA5" s="207"/>
      <c r="AB5" s="207"/>
      <c r="AC5" s="207"/>
      <c r="AD5" s="207"/>
      <c r="AE5" s="207"/>
    </row>
    <row r="6" spans="1:48" ht="25.05" customHeight="1" thickTop="1" thickBot="1" x14ac:dyDescent="0.35">
      <c r="B6" s="207"/>
      <c r="C6" s="207"/>
      <c r="D6" s="207"/>
      <c r="E6" s="207"/>
      <c r="F6" s="207"/>
      <c r="G6" s="207"/>
      <c r="H6" s="207"/>
      <c r="I6" s="207"/>
      <c r="J6" s="207"/>
      <c r="K6" s="207"/>
      <c r="L6" s="207"/>
      <c r="M6" s="207"/>
      <c r="N6" s="204"/>
      <c r="O6" s="204"/>
      <c r="P6" s="204" t="s">
        <v>107</v>
      </c>
      <c r="Q6" s="204"/>
      <c r="R6" s="204"/>
      <c r="S6" s="204"/>
      <c r="T6" s="203" t="s">
        <v>108</v>
      </c>
      <c r="U6" s="204" t="s">
        <v>109</v>
      </c>
      <c r="V6" s="204"/>
      <c r="W6" s="204"/>
      <c r="X6" s="203" t="s">
        <v>110</v>
      </c>
      <c r="Y6" s="204" t="s">
        <v>111</v>
      </c>
      <c r="Z6" s="204"/>
      <c r="AA6" s="203" t="s">
        <v>151</v>
      </c>
      <c r="AB6" s="203" t="s">
        <v>112</v>
      </c>
      <c r="AC6" s="203" t="s">
        <v>153</v>
      </c>
      <c r="AD6" s="203"/>
      <c r="AE6" s="203"/>
      <c r="AG6" s="211" t="s">
        <v>105</v>
      </c>
      <c r="AH6" s="212"/>
      <c r="AN6" s="210" t="s">
        <v>105</v>
      </c>
      <c r="AO6" s="210"/>
      <c r="AP6" s="210" t="s">
        <v>165</v>
      </c>
    </row>
    <row r="7" spans="1:48" ht="25.05" customHeight="1" thickTop="1" thickBot="1" x14ac:dyDescent="0.35">
      <c r="A7" s="25"/>
      <c r="B7" s="206" t="s">
        <v>157</v>
      </c>
      <c r="C7" s="206" t="s">
        <v>390</v>
      </c>
      <c r="D7" s="206" t="s">
        <v>158</v>
      </c>
      <c r="E7" s="205" t="s">
        <v>113</v>
      </c>
      <c r="F7" s="205" t="s">
        <v>114</v>
      </c>
      <c r="G7" s="205" t="s">
        <v>217</v>
      </c>
      <c r="H7" s="205" t="s">
        <v>115</v>
      </c>
      <c r="I7" s="205" t="s">
        <v>116</v>
      </c>
      <c r="J7" s="205" t="s">
        <v>117</v>
      </c>
      <c r="K7" s="205" t="s">
        <v>118</v>
      </c>
      <c r="L7" s="205" t="s">
        <v>119</v>
      </c>
      <c r="M7" s="205" t="s">
        <v>150</v>
      </c>
      <c r="N7" s="205" t="s">
        <v>120</v>
      </c>
      <c r="O7" s="205" t="s">
        <v>152</v>
      </c>
      <c r="P7" s="102" t="s">
        <v>121</v>
      </c>
      <c r="Q7" s="102" t="s">
        <v>122</v>
      </c>
      <c r="R7" s="102" t="s">
        <v>123</v>
      </c>
      <c r="S7" s="102" t="s">
        <v>124</v>
      </c>
      <c r="T7" s="203"/>
      <c r="U7" s="102" t="s">
        <v>125</v>
      </c>
      <c r="V7" s="102" t="s">
        <v>126</v>
      </c>
      <c r="W7" s="102" t="s">
        <v>127</v>
      </c>
      <c r="X7" s="203"/>
      <c r="Y7" s="102" t="s">
        <v>128</v>
      </c>
      <c r="Z7" s="102" t="s">
        <v>129</v>
      </c>
      <c r="AA7" s="203"/>
      <c r="AB7" s="203"/>
      <c r="AC7" s="203" t="s">
        <v>154</v>
      </c>
      <c r="AD7" s="203" t="s">
        <v>155</v>
      </c>
      <c r="AE7" s="203" t="s">
        <v>220</v>
      </c>
      <c r="AG7" s="25"/>
      <c r="AH7" s="25"/>
      <c r="AN7" s="210" t="s">
        <v>166</v>
      </c>
      <c r="AO7" s="210" t="s">
        <v>130</v>
      </c>
      <c r="AP7" s="210"/>
    </row>
    <row r="8" spans="1:48" ht="25.05" customHeight="1" thickTop="1" thickBot="1" x14ac:dyDescent="0.35">
      <c r="B8" s="206"/>
      <c r="C8" s="206"/>
      <c r="D8" s="209"/>
      <c r="E8" s="205"/>
      <c r="F8" s="205"/>
      <c r="G8" s="205"/>
      <c r="H8" s="205"/>
      <c r="I8" s="205"/>
      <c r="J8" s="205"/>
      <c r="K8" s="205"/>
      <c r="L8" s="205"/>
      <c r="M8" s="205"/>
      <c r="N8" s="208"/>
      <c r="O8" s="205"/>
      <c r="P8" s="103">
        <v>0</v>
      </c>
      <c r="Q8" s="103">
        <v>3</v>
      </c>
      <c r="R8" s="103">
        <v>7</v>
      </c>
      <c r="S8" s="103">
        <v>10</v>
      </c>
      <c r="T8" s="203"/>
      <c r="U8" s="104">
        <v>0</v>
      </c>
      <c r="V8" s="104">
        <v>10</v>
      </c>
      <c r="W8" s="104">
        <v>20</v>
      </c>
      <c r="X8" s="203"/>
      <c r="Y8" s="104">
        <v>60</v>
      </c>
      <c r="Z8" s="104">
        <v>0</v>
      </c>
      <c r="AA8" s="203"/>
      <c r="AB8" s="203"/>
      <c r="AC8" s="203"/>
      <c r="AD8" s="203"/>
      <c r="AE8" s="203"/>
      <c r="AG8" s="213" t="s">
        <v>167</v>
      </c>
      <c r="AH8" s="213" t="s">
        <v>130</v>
      </c>
      <c r="AJ8" s="97" t="s">
        <v>115</v>
      </c>
      <c r="AL8" s="97" t="s">
        <v>116</v>
      </c>
      <c r="AN8" s="210"/>
      <c r="AO8" s="210"/>
      <c r="AP8" s="210"/>
      <c r="AR8" s="97" t="s">
        <v>217</v>
      </c>
      <c r="AT8" s="127" t="s">
        <v>130</v>
      </c>
      <c r="AU8" s="127" t="s">
        <v>405</v>
      </c>
      <c r="AV8" s="127" t="s">
        <v>405</v>
      </c>
    </row>
    <row r="9" spans="1:48" ht="80.099999999999994" customHeight="1" thickTop="1" thickBot="1" x14ac:dyDescent="0.35">
      <c r="B9" s="215">
        <v>1</v>
      </c>
      <c r="C9" s="177" t="str">
        <f>VLOOKUP(B9,codr,6,0)</f>
        <v>Posibilidad de no identificar señales de alerta y/u operaciones inusuales cualitativas y cuantitativas dentro de los movimientos de los Trabajadores Oficiales, Trabajadores de Libre Nombramiento y Remoción, Contratistas, Proveedores, Gestores, Distribuidores y demás Contrapartes.</v>
      </c>
      <c r="D9" s="105" t="s">
        <v>578</v>
      </c>
      <c r="E9" s="196" t="s">
        <v>408</v>
      </c>
      <c r="F9" s="106" t="s">
        <v>416</v>
      </c>
      <c r="G9" s="107" t="s">
        <v>402</v>
      </c>
      <c r="H9" s="107" t="s">
        <v>146</v>
      </c>
      <c r="I9" s="107" t="s">
        <v>139</v>
      </c>
      <c r="J9" s="108" t="s">
        <v>594</v>
      </c>
      <c r="K9" s="108" t="s">
        <v>594</v>
      </c>
      <c r="L9" s="108" t="s">
        <v>594</v>
      </c>
      <c r="M9" s="108" t="s">
        <v>594</v>
      </c>
      <c r="N9" s="109" t="s">
        <v>595</v>
      </c>
      <c r="O9" s="133" t="s">
        <v>216</v>
      </c>
      <c r="P9" s="107"/>
      <c r="Q9" s="110" t="s">
        <v>200</v>
      </c>
      <c r="R9" s="110" t="s">
        <v>200</v>
      </c>
      <c r="S9" s="110" t="s">
        <v>200</v>
      </c>
      <c r="T9" s="111">
        <f>IF(OR(P9="X",AND(Q9="",OR(R9="X",S9="X")),AND(R9="",S9="X")),$P$8,IF(Q9="X",$Q$8+(IF(R9="X",$R$8+(IF(S9="X",$S$8))))))</f>
        <v>20</v>
      </c>
      <c r="U9" s="112"/>
      <c r="V9" s="112"/>
      <c r="W9" s="112" t="s">
        <v>200</v>
      </c>
      <c r="X9" s="113">
        <f>IF(COUNTA(U9:W9)&gt;1,$U$8,IF(U9="X",$U$8)+IF(V9="X",$V$8)+IF(W9="X",$W$8))</f>
        <v>20</v>
      </c>
      <c r="Y9" s="112" t="s">
        <v>200</v>
      </c>
      <c r="Z9" s="112"/>
      <c r="AA9" s="110"/>
      <c r="AB9" s="113">
        <f t="shared" ref="AB9:AB44" si="0">IF(COUNTA(Y9,Z9)&gt;1,$Z$8,IF(Y9="X",$Y$8,IF(Z9="X",$Z$8)))</f>
        <v>60</v>
      </c>
      <c r="AC9" s="115">
        <f t="shared" ref="AC9:AC36" si="1">IF(AB9=FALSE,-1,T9+X9+AB9)</f>
        <v>100</v>
      </c>
      <c r="AD9" s="197">
        <f>ROUND(IF(AND(AC11=-1,AC10=-1),AC9,IF(AC11=-1,AVERAGE(AC9:AC10),IF(AND(AC11&gt;=0,AC10&gt;=0,AC9&gt;=0),AVERAGE(AC9:AC11)))),0)</f>
        <v>91</v>
      </c>
      <c r="AE9" s="198" t="str">
        <f>IF(AND(AD9&lt;20,AD9&gt;=0),"CRITICA",IF(AND(AD9&lt;61,AD9&gt;=20),"BAJA",IF(AND(AD9&lt;91,AD9&gt;=61),"BUENA",IF(AND(AD9&lt;=100,AD9&gt;=91),"EXCELENTE",0))))</f>
        <v>EXCELENTE</v>
      </c>
      <c r="AF9" s="59"/>
      <c r="AG9" s="214"/>
      <c r="AH9" s="214"/>
      <c r="AJ9" s="98" t="s">
        <v>164</v>
      </c>
      <c r="AL9" s="98" t="s">
        <v>139</v>
      </c>
      <c r="AN9" s="99" t="s">
        <v>132</v>
      </c>
      <c r="AO9" s="99" t="s">
        <v>133</v>
      </c>
      <c r="AP9" s="100">
        <v>0.8</v>
      </c>
      <c r="AR9" s="98" t="s">
        <v>402</v>
      </c>
      <c r="AT9" s="96" t="s">
        <v>131</v>
      </c>
      <c r="AU9" s="128">
        <v>1</v>
      </c>
      <c r="AV9" s="128">
        <f>1-AU9</f>
        <v>0</v>
      </c>
    </row>
    <row r="10" spans="1:48" ht="65.55" customHeight="1" thickTop="1" thickBot="1" x14ac:dyDescent="0.35">
      <c r="B10" s="215"/>
      <c r="C10" s="177"/>
      <c r="D10" s="105" t="s">
        <v>596</v>
      </c>
      <c r="E10" s="196"/>
      <c r="F10" s="106" t="s">
        <v>410</v>
      </c>
      <c r="G10" s="107" t="s">
        <v>403</v>
      </c>
      <c r="H10" s="107" t="s">
        <v>145</v>
      </c>
      <c r="I10" s="107" t="s">
        <v>143</v>
      </c>
      <c r="J10" s="108" t="s">
        <v>594</v>
      </c>
      <c r="K10" s="108" t="s">
        <v>594</v>
      </c>
      <c r="L10" s="108" t="s">
        <v>594</v>
      </c>
      <c r="M10" s="132" t="s">
        <v>423</v>
      </c>
      <c r="N10" s="109" t="s">
        <v>415</v>
      </c>
      <c r="O10" s="133" t="s">
        <v>215</v>
      </c>
      <c r="P10" s="107"/>
      <c r="Q10" s="110" t="s">
        <v>200</v>
      </c>
      <c r="R10" s="110"/>
      <c r="S10" s="110"/>
      <c r="T10" s="111">
        <f>IF(OR(P10="X",AND(Q10="",OR(R10="X",S10="X")),AND(R10="",S10="X")),$P$8,IF(Q10="X",$Q$8+(IF(R10="X",$R$8+(IF(S10="X",$S$8))))))</f>
        <v>3</v>
      </c>
      <c r="U10" s="112"/>
      <c r="V10" s="112" t="s">
        <v>200</v>
      </c>
      <c r="W10" s="112"/>
      <c r="X10" s="113">
        <f t="shared" ref="X10:X44" si="2">IF(COUNTA(U10:W10)&gt;1,$U$8,IF(U10="X",$U$8)+IF(V10="X",$V$8)+IF(W10="X",$W$8))</f>
        <v>10</v>
      </c>
      <c r="Y10" s="112" t="s">
        <v>200</v>
      </c>
      <c r="Z10" s="112"/>
      <c r="AA10" s="114"/>
      <c r="AB10" s="113">
        <f t="shared" si="0"/>
        <v>60</v>
      </c>
      <c r="AC10" s="115">
        <f t="shared" si="1"/>
        <v>73</v>
      </c>
      <c r="AD10" s="197"/>
      <c r="AE10" s="198"/>
      <c r="AF10" s="59"/>
      <c r="AG10" s="116" t="s">
        <v>180</v>
      </c>
      <c r="AH10" s="96" t="s">
        <v>131</v>
      </c>
      <c r="AJ10" s="98" t="s">
        <v>140</v>
      </c>
      <c r="AL10" s="98" t="s">
        <v>141</v>
      </c>
      <c r="AN10" s="99" t="s">
        <v>134</v>
      </c>
      <c r="AO10" s="99" t="s">
        <v>135</v>
      </c>
      <c r="AP10" s="101">
        <v>0.5</v>
      </c>
      <c r="AR10" s="98" t="s">
        <v>403</v>
      </c>
      <c r="AT10" s="96" t="s">
        <v>137</v>
      </c>
      <c r="AU10" s="128">
        <v>0.9</v>
      </c>
      <c r="AV10" s="128">
        <f t="shared" ref="AV10:AV12" si="3">1-AU10</f>
        <v>9.9999999999999978E-2</v>
      </c>
    </row>
    <row r="11" spans="1:48" ht="45.6" customHeight="1" thickTop="1" thickBot="1" x14ac:dyDescent="0.35">
      <c r="B11" s="215"/>
      <c r="C11" s="177"/>
      <c r="D11" s="105" t="s">
        <v>626</v>
      </c>
      <c r="E11" s="196"/>
      <c r="F11" s="106" t="s">
        <v>416</v>
      </c>
      <c r="G11" s="107" t="s">
        <v>403</v>
      </c>
      <c r="H11" s="107" t="s">
        <v>145</v>
      </c>
      <c r="I11" s="107" t="s">
        <v>139</v>
      </c>
      <c r="J11" s="108" t="s">
        <v>594</v>
      </c>
      <c r="K11" s="108" t="s">
        <v>594</v>
      </c>
      <c r="L11" s="108" t="s">
        <v>594</v>
      </c>
      <c r="M11" s="108" t="s">
        <v>594</v>
      </c>
      <c r="N11" s="109" t="s">
        <v>415</v>
      </c>
      <c r="O11" s="133" t="s">
        <v>216</v>
      </c>
      <c r="P11" s="107"/>
      <c r="Q11" s="110" t="s">
        <v>200</v>
      </c>
      <c r="R11" s="110" t="s">
        <v>200</v>
      </c>
      <c r="S11" s="110" t="s">
        <v>200</v>
      </c>
      <c r="T11" s="111">
        <f t="shared" ref="T11:T44" si="4">IF(OR(P11="X",AND(Q11="",OR(R11="X",S11="X")),AND(R11="",S11="X")),$P$8,IF(Q11="X",$Q$8+(IF(R11="X",$R$8+(IF(S11="X",$S$8))))))</f>
        <v>20</v>
      </c>
      <c r="U11" s="112"/>
      <c r="V11" s="112"/>
      <c r="W11" s="112" t="s">
        <v>200</v>
      </c>
      <c r="X11" s="113">
        <f t="shared" si="2"/>
        <v>20</v>
      </c>
      <c r="Y11" s="112" t="s">
        <v>200</v>
      </c>
      <c r="Z11" s="112"/>
      <c r="AA11" s="114"/>
      <c r="AB11" s="113">
        <f t="shared" si="0"/>
        <v>60</v>
      </c>
      <c r="AC11" s="115">
        <f t="shared" si="1"/>
        <v>100</v>
      </c>
      <c r="AD11" s="197"/>
      <c r="AE11" s="198"/>
      <c r="AF11" s="59"/>
      <c r="AG11" s="117" t="s">
        <v>212</v>
      </c>
      <c r="AH11" s="96" t="s">
        <v>137</v>
      </c>
      <c r="AJ11" s="98" t="s">
        <v>142</v>
      </c>
      <c r="AL11" s="98" t="s">
        <v>143</v>
      </c>
      <c r="AN11" s="99" t="s">
        <v>136</v>
      </c>
      <c r="AO11" s="99" t="s">
        <v>137</v>
      </c>
      <c r="AP11" s="101">
        <v>0.1</v>
      </c>
      <c r="AR11" s="98" t="s">
        <v>404</v>
      </c>
      <c r="AT11" s="96" t="s">
        <v>135</v>
      </c>
      <c r="AU11" s="128">
        <v>0.5</v>
      </c>
      <c r="AV11" s="128">
        <f t="shared" si="3"/>
        <v>0.5</v>
      </c>
    </row>
    <row r="12" spans="1:48" ht="35.1" customHeight="1" thickTop="1" thickBot="1" x14ac:dyDescent="0.35">
      <c r="B12" s="215">
        <v>2</v>
      </c>
      <c r="C12" s="177" t="str">
        <f>VLOOKUP(B12,codr,6,0)</f>
        <v>Posibilidad de entregar información incompleta o errónea al área encargada de responder un requerimiento sobre LA/FT/FPADM realizado por un ente de control. (sobre todas las contrapartes)</v>
      </c>
      <c r="D12" s="105" t="s">
        <v>627</v>
      </c>
      <c r="E12" s="196" t="s">
        <v>408</v>
      </c>
      <c r="F12" s="106" t="s">
        <v>416</v>
      </c>
      <c r="G12" s="107" t="s">
        <v>403</v>
      </c>
      <c r="H12" s="107" t="s">
        <v>145</v>
      </c>
      <c r="I12" s="107" t="s">
        <v>143</v>
      </c>
      <c r="J12" s="108" t="s">
        <v>594</v>
      </c>
      <c r="K12" s="108" t="s">
        <v>594</v>
      </c>
      <c r="L12" s="108" t="s">
        <v>594</v>
      </c>
      <c r="M12" s="108" t="s">
        <v>594</v>
      </c>
      <c r="N12" s="109" t="s">
        <v>415</v>
      </c>
      <c r="O12" s="133" t="s">
        <v>216</v>
      </c>
      <c r="P12" s="107"/>
      <c r="Q12" s="110" t="s">
        <v>200</v>
      </c>
      <c r="R12" s="110" t="s">
        <v>200</v>
      </c>
      <c r="S12" s="110" t="s">
        <v>200</v>
      </c>
      <c r="T12" s="111">
        <f t="shared" si="4"/>
        <v>20</v>
      </c>
      <c r="U12" s="112"/>
      <c r="V12" s="112"/>
      <c r="W12" s="112" t="s">
        <v>200</v>
      </c>
      <c r="X12" s="113">
        <f t="shared" si="2"/>
        <v>20</v>
      </c>
      <c r="Y12" s="112" t="s">
        <v>200</v>
      </c>
      <c r="Z12" s="112"/>
      <c r="AA12" s="114"/>
      <c r="AB12" s="113">
        <f t="shared" si="0"/>
        <v>60</v>
      </c>
      <c r="AC12" s="115">
        <f t="shared" si="1"/>
        <v>100</v>
      </c>
      <c r="AD12" s="197">
        <f t="shared" ref="AD12" si="5">ROUND(IF(AND(AC14=-1,AC13=-1),AC12,IF(AC14=-1,AVERAGE(AC12:AC13),IF(AND(AC14&gt;=0,AC13&gt;=0,AC12&gt;=0),AVERAGE(AC12:AC14)))),0)</f>
        <v>100</v>
      </c>
      <c r="AE12" s="198" t="str">
        <f t="shared" ref="AE12" si="6">IF(AND(AD12&lt;20,AD12&gt;=0),"CRITICA",IF(AND(AD12&lt;61,AD12&gt;=20),"BAJA",IF(AND(AD12&lt;91,AD12&gt;=61),"BUENA",IF(AND(AD12&lt;=100,AD12&gt;=91),"EXCELENTE",0))))</f>
        <v>EXCELENTE</v>
      </c>
      <c r="AF12" s="59"/>
      <c r="AG12" s="118" t="s">
        <v>213</v>
      </c>
      <c r="AH12" s="96" t="s">
        <v>135</v>
      </c>
      <c r="AJ12" s="98" t="s">
        <v>144</v>
      </c>
      <c r="AN12" s="99" t="s">
        <v>138</v>
      </c>
      <c r="AO12" s="99" t="s">
        <v>131</v>
      </c>
      <c r="AP12" s="101">
        <v>0</v>
      </c>
      <c r="AT12" s="96" t="s">
        <v>133</v>
      </c>
      <c r="AU12" s="128">
        <v>0.2</v>
      </c>
      <c r="AV12" s="128">
        <f t="shared" si="3"/>
        <v>0.8</v>
      </c>
    </row>
    <row r="13" spans="1:48" ht="53.55" customHeight="1" thickTop="1" thickBot="1" x14ac:dyDescent="0.35">
      <c r="B13" s="215"/>
      <c r="C13" s="177"/>
      <c r="D13" s="105" t="s">
        <v>597</v>
      </c>
      <c r="E13" s="196"/>
      <c r="F13" s="106" t="s">
        <v>410</v>
      </c>
      <c r="G13" s="107" t="s">
        <v>403</v>
      </c>
      <c r="H13" s="107" t="s">
        <v>164</v>
      </c>
      <c r="I13" s="107" t="s">
        <v>141</v>
      </c>
      <c r="J13" s="108" t="s">
        <v>598</v>
      </c>
      <c r="K13" s="108" t="s">
        <v>598</v>
      </c>
      <c r="L13" s="108" t="s">
        <v>598</v>
      </c>
      <c r="M13" s="108" t="s">
        <v>598</v>
      </c>
      <c r="N13" s="109" t="s">
        <v>415</v>
      </c>
      <c r="O13" s="133" t="s">
        <v>216</v>
      </c>
      <c r="P13" s="107"/>
      <c r="Q13" s="110" t="s">
        <v>200</v>
      </c>
      <c r="R13" s="110" t="s">
        <v>200</v>
      </c>
      <c r="S13" s="110" t="s">
        <v>200</v>
      </c>
      <c r="T13" s="111">
        <f t="shared" si="4"/>
        <v>20</v>
      </c>
      <c r="U13" s="112"/>
      <c r="V13" s="112"/>
      <c r="W13" s="112" t="s">
        <v>200</v>
      </c>
      <c r="X13" s="113">
        <f t="shared" si="2"/>
        <v>20</v>
      </c>
      <c r="Y13" s="112" t="s">
        <v>200</v>
      </c>
      <c r="Z13" s="112"/>
      <c r="AA13" s="114"/>
      <c r="AB13" s="113">
        <f t="shared" si="0"/>
        <v>60</v>
      </c>
      <c r="AC13" s="115">
        <f t="shared" si="1"/>
        <v>100</v>
      </c>
      <c r="AD13" s="197"/>
      <c r="AE13" s="198"/>
      <c r="AF13" s="59"/>
      <c r="AG13" s="119" t="s">
        <v>214</v>
      </c>
      <c r="AH13" s="96" t="s">
        <v>133</v>
      </c>
      <c r="AJ13" s="98" t="s">
        <v>163</v>
      </c>
      <c r="AL13" s="97" t="s">
        <v>418</v>
      </c>
    </row>
    <row r="14" spans="1:48" ht="81.599999999999994" customHeight="1" thickTop="1" thickBot="1" x14ac:dyDescent="0.35">
      <c r="B14" s="215"/>
      <c r="C14" s="177"/>
      <c r="D14" s="105" t="s">
        <v>576</v>
      </c>
      <c r="E14" s="196"/>
      <c r="F14" s="106" t="s">
        <v>416</v>
      </c>
      <c r="G14" s="107" t="s">
        <v>402</v>
      </c>
      <c r="H14" s="107" t="s">
        <v>145</v>
      </c>
      <c r="I14" s="107" t="s">
        <v>143</v>
      </c>
      <c r="J14" s="108" t="s">
        <v>599</v>
      </c>
      <c r="K14" s="108" t="s">
        <v>599</v>
      </c>
      <c r="L14" s="108" t="s">
        <v>594</v>
      </c>
      <c r="M14" s="108" t="s">
        <v>594</v>
      </c>
      <c r="N14" s="109" t="s">
        <v>415</v>
      </c>
      <c r="O14" s="133" t="s">
        <v>215</v>
      </c>
      <c r="P14" s="107"/>
      <c r="Q14" s="110" t="s">
        <v>200</v>
      </c>
      <c r="R14" s="110" t="s">
        <v>200</v>
      </c>
      <c r="S14" s="110" t="s">
        <v>200</v>
      </c>
      <c r="T14" s="111">
        <f t="shared" si="4"/>
        <v>20</v>
      </c>
      <c r="U14" s="112"/>
      <c r="V14" s="112"/>
      <c r="W14" s="112" t="s">
        <v>200</v>
      </c>
      <c r="X14" s="113">
        <f t="shared" si="2"/>
        <v>20</v>
      </c>
      <c r="Y14" s="112" t="s">
        <v>200</v>
      </c>
      <c r="Z14" s="112"/>
      <c r="AA14" s="114"/>
      <c r="AB14" s="113">
        <f t="shared" si="0"/>
        <v>60</v>
      </c>
      <c r="AC14" s="115">
        <f t="shared" si="1"/>
        <v>100</v>
      </c>
      <c r="AD14" s="197"/>
      <c r="AE14" s="198"/>
      <c r="AF14" s="59"/>
      <c r="AJ14" s="98" t="s">
        <v>145</v>
      </c>
      <c r="AL14" s="106" t="s">
        <v>409</v>
      </c>
    </row>
    <row r="15" spans="1:48" ht="55.5" customHeight="1" thickTop="1" thickBot="1" x14ac:dyDescent="0.35">
      <c r="B15" s="215">
        <v>3</v>
      </c>
      <c r="C15" s="177" t="str">
        <f>VLOOKUP(B15,codr,6,0)</f>
        <v>Posibilidad de tener relaciones contractuales, legales, comerciales, alianzas o convenios con contrapartes relacionadas con delitos de LA/FT/FPADM y/o que se encuentren en listas vinculantes y de control LA/FT/FPADM.</v>
      </c>
      <c r="D15" s="105" t="s">
        <v>600</v>
      </c>
      <c r="E15" s="196" t="s">
        <v>408</v>
      </c>
      <c r="F15" s="106" t="s">
        <v>411</v>
      </c>
      <c r="G15" s="107" t="s">
        <v>402</v>
      </c>
      <c r="H15" s="107" t="s">
        <v>164</v>
      </c>
      <c r="I15" s="107" t="s">
        <v>141</v>
      </c>
      <c r="J15" s="108" t="s">
        <v>423</v>
      </c>
      <c r="K15" s="108" t="s">
        <v>423</v>
      </c>
      <c r="L15" s="108" t="s">
        <v>423</v>
      </c>
      <c r="M15" s="132" t="s">
        <v>423</v>
      </c>
      <c r="N15" s="109" t="s">
        <v>602</v>
      </c>
      <c r="O15" s="133" t="s">
        <v>216</v>
      </c>
      <c r="P15" s="107"/>
      <c r="Q15" s="110" t="s">
        <v>200</v>
      </c>
      <c r="R15" s="110" t="s">
        <v>200</v>
      </c>
      <c r="S15" s="110" t="s">
        <v>200</v>
      </c>
      <c r="T15" s="111">
        <f t="shared" si="4"/>
        <v>20</v>
      </c>
      <c r="U15" s="112"/>
      <c r="V15" s="112"/>
      <c r="W15" s="112" t="s">
        <v>200</v>
      </c>
      <c r="X15" s="113">
        <f t="shared" si="2"/>
        <v>20</v>
      </c>
      <c r="Y15" s="112" t="s">
        <v>200</v>
      </c>
      <c r="Z15" s="112"/>
      <c r="AA15" s="114"/>
      <c r="AB15" s="113">
        <f t="shared" si="0"/>
        <v>60</v>
      </c>
      <c r="AC15" s="115">
        <f t="shared" si="1"/>
        <v>100</v>
      </c>
      <c r="AD15" s="197">
        <f t="shared" ref="AD15" si="7">ROUND(IF(AND(AC17=-1,AC16=-1),AC15,IF(AC17=-1,AVERAGE(AC15:AC16),IF(AND(AC17&gt;=0,AC16&gt;=0,AC15&gt;=0),AVERAGE(AC15:AC17)))),0)</f>
        <v>97</v>
      </c>
      <c r="AE15" s="198" t="str">
        <f t="shared" ref="AE15" si="8">IF(AND(AD15&lt;20,AD15&gt;=0),"CRITICA",IF(AND(AD15&lt;61,AD15&gt;=20),"BAJA",IF(AND(AD15&lt;91,AD15&gt;=61),"BUENA",IF(AND(AD15&lt;=100,AD15&gt;=91),"EXCELENTE",0))))</f>
        <v>EXCELENTE</v>
      </c>
      <c r="AF15" s="59"/>
      <c r="AJ15" s="98" t="s">
        <v>146</v>
      </c>
      <c r="AL15" s="106" t="s">
        <v>410</v>
      </c>
    </row>
    <row r="16" spans="1:48" ht="38.1" customHeight="1" thickTop="1" thickBot="1" x14ac:dyDescent="0.35">
      <c r="B16" s="215"/>
      <c r="C16" s="177"/>
      <c r="D16" s="105" t="s">
        <v>628</v>
      </c>
      <c r="E16" s="196"/>
      <c r="F16" s="106" t="s">
        <v>416</v>
      </c>
      <c r="G16" s="107" t="s">
        <v>403</v>
      </c>
      <c r="H16" s="107" t="s">
        <v>145</v>
      </c>
      <c r="I16" s="107" t="s">
        <v>141</v>
      </c>
      <c r="J16" s="108" t="s">
        <v>594</v>
      </c>
      <c r="K16" s="108" t="s">
        <v>594</v>
      </c>
      <c r="L16" s="108" t="s">
        <v>594</v>
      </c>
      <c r="M16" s="108" t="s">
        <v>594</v>
      </c>
      <c r="N16" s="109" t="s">
        <v>413</v>
      </c>
      <c r="O16" s="133" t="s">
        <v>216</v>
      </c>
      <c r="P16" s="107"/>
      <c r="Q16" s="110" t="s">
        <v>200</v>
      </c>
      <c r="R16" s="110" t="s">
        <v>200</v>
      </c>
      <c r="S16" s="110"/>
      <c r="T16" s="111">
        <f t="shared" si="4"/>
        <v>10</v>
      </c>
      <c r="U16" s="112"/>
      <c r="V16" s="112"/>
      <c r="W16" s="112" t="s">
        <v>200</v>
      </c>
      <c r="X16" s="113">
        <f t="shared" si="2"/>
        <v>20</v>
      </c>
      <c r="Y16" s="112" t="s">
        <v>200</v>
      </c>
      <c r="Z16" s="112"/>
      <c r="AA16" s="114"/>
      <c r="AB16" s="113">
        <f t="shared" si="0"/>
        <v>60</v>
      </c>
      <c r="AC16" s="115">
        <f t="shared" si="1"/>
        <v>90</v>
      </c>
      <c r="AD16" s="197"/>
      <c r="AE16" s="198"/>
      <c r="AF16" s="59"/>
      <c r="AJ16" s="98" t="s">
        <v>147</v>
      </c>
      <c r="AL16" s="106" t="s">
        <v>414</v>
      </c>
    </row>
    <row r="17" spans="2:38" ht="77.099999999999994" customHeight="1" thickTop="1" x14ac:dyDescent="0.3">
      <c r="B17" s="215"/>
      <c r="C17" s="177"/>
      <c r="D17" s="105" t="s">
        <v>576</v>
      </c>
      <c r="E17" s="196"/>
      <c r="F17" s="106" t="s">
        <v>416</v>
      </c>
      <c r="G17" s="107" t="s">
        <v>402</v>
      </c>
      <c r="H17" s="107" t="s">
        <v>145</v>
      </c>
      <c r="I17" s="107" t="s">
        <v>143</v>
      </c>
      <c r="J17" s="108" t="s">
        <v>599</v>
      </c>
      <c r="K17" s="108" t="s">
        <v>599</v>
      </c>
      <c r="L17" s="108" t="s">
        <v>594</v>
      </c>
      <c r="M17" s="108" t="s">
        <v>594</v>
      </c>
      <c r="N17" s="109" t="s">
        <v>415</v>
      </c>
      <c r="O17" s="133" t="s">
        <v>216</v>
      </c>
      <c r="P17" s="107"/>
      <c r="Q17" s="110" t="s">
        <v>200</v>
      </c>
      <c r="R17" s="110" t="s">
        <v>200</v>
      </c>
      <c r="S17" s="110" t="s">
        <v>200</v>
      </c>
      <c r="T17" s="111">
        <f t="shared" si="4"/>
        <v>20</v>
      </c>
      <c r="U17" s="112"/>
      <c r="V17" s="112"/>
      <c r="W17" s="112" t="s">
        <v>200</v>
      </c>
      <c r="X17" s="113">
        <f t="shared" si="2"/>
        <v>20</v>
      </c>
      <c r="Y17" s="112" t="s">
        <v>200</v>
      </c>
      <c r="Z17" s="112"/>
      <c r="AA17" s="114"/>
      <c r="AB17" s="113">
        <f t="shared" si="0"/>
        <v>60</v>
      </c>
      <c r="AC17" s="115">
        <f t="shared" si="1"/>
        <v>100</v>
      </c>
      <c r="AD17" s="197"/>
      <c r="AE17" s="198"/>
      <c r="AF17" s="59"/>
      <c r="AL17" s="106" t="s">
        <v>411</v>
      </c>
    </row>
    <row r="18" spans="2:38" ht="38.1" customHeight="1" x14ac:dyDescent="0.3">
      <c r="B18" s="215">
        <v>4</v>
      </c>
      <c r="C18" s="177" t="str">
        <f>VLOOKUP(B18,codr,6,0)</f>
        <v>Posibilidad de utilización de un canal comercial o transaccional de la Lotería  para realizar operaciones relacionadas con LA/FT/FPADM.</v>
      </c>
      <c r="D18" s="105" t="s">
        <v>604</v>
      </c>
      <c r="E18" s="196" t="s">
        <v>408</v>
      </c>
      <c r="F18" s="106" t="s">
        <v>410</v>
      </c>
      <c r="G18" s="107" t="s">
        <v>403</v>
      </c>
      <c r="H18" s="107" t="s">
        <v>144</v>
      </c>
      <c r="I18" s="107" t="s">
        <v>143</v>
      </c>
      <c r="J18" s="108" t="s">
        <v>606</v>
      </c>
      <c r="K18" s="108" t="s">
        <v>606</v>
      </c>
      <c r="L18" s="108" t="s">
        <v>606</v>
      </c>
      <c r="M18" s="108" t="s">
        <v>606</v>
      </c>
      <c r="N18" s="109" t="s">
        <v>415</v>
      </c>
      <c r="O18" s="133" t="s">
        <v>216</v>
      </c>
      <c r="P18" s="107"/>
      <c r="Q18" s="110" t="s">
        <v>200</v>
      </c>
      <c r="R18" s="110" t="s">
        <v>200</v>
      </c>
      <c r="S18" s="110" t="s">
        <v>200</v>
      </c>
      <c r="T18" s="111">
        <f t="shared" si="4"/>
        <v>20</v>
      </c>
      <c r="U18" s="112"/>
      <c r="V18" s="112"/>
      <c r="W18" s="112" t="s">
        <v>200</v>
      </c>
      <c r="X18" s="113">
        <f t="shared" si="2"/>
        <v>20</v>
      </c>
      <c r="Y18" s="112" t="s">
        <v>200</v>
      </c>
      <c r="Z18" s="112"/>
      <c r="AA18" s="114"/>
      <c r="AB18" s="113">
        <f t="shared" si="0"/>
        <v>60</v>
      </c>
      <c r="AC18" s="115">
        <f t="shared" si="1"/>
        <v>100</v>
      </c>
      <c r="AD18" s="197">
        <f t="shared" ref="AD18" si="9">ROUND(IF(AND(AC20=-1,AC19=-1),AC18,IF(AC20=-1,AVERAGE(AC18:AC19),IF(AND(AC20&gt;=0,AC19&gt;=0,AC18&gt;=0),AVERAGE(AC18:AC20)))),0)</f>
        <v>97</v>
      </c>
      <c r="AE18" s="198" t="str">
        <f t="shared" ref="AE18" si="10">IF(AND(AD18&lt;20,AD18&gt;=0),"CRITICA",IF(AND(AD18&lt;61,AD18&gt;=20),"BAJA",IF(AND(AD18&lt;91,AD18&gt;=61),"BUENA",IF(AND(AD18&lt;=100,AD18&gt;=91),"EXCELENTE",0))))</f>
        <v>EXCELENTE</v>
      </c>
      <c r="AF18" s="59"/>
      <c r="AL18" s="106" t="s">
        <v>416</v>
      </c>
    </row>
    <row r="19" spans="2:38" ht="38.1" customHeight="1" x14ac:dyDescent="0.3">
      <c r="B19" s="215"/>
      <c r="C19" s="177"/>
      <c r="D19" s="105" t="s">
        <v>605</v>
      </c>
      <c r="E19" s="196"/>
      <c r="F19" s="106" t="s">
        <v>410</v>
      </c>
      <c r="G19" s="107" t="s">
        <v>403</v>
      </c>
      <c r="H19" s="107" t="s">
        <v>144</v>
      </c>
      <c r="I19" s="107" t="s">
        <v>143</v>
      </c>
      <c r="J19" s="108" t="s">
        <v>607</v>
      </c>
      <c r="K19" s="108" t="s">
        <v>607</v>
      </c>
      <c r="L19" s="108" t="s">
        <v>607</v>
      </c>
      <c r="M19" s="108" t="s">
        <v>607</v>
      </c>
      <c r="N19" s="109" t="s">
        <v>415</v>
      </c>
      <c r="O19" s="133" t="s">
        <v>216</v>
      </c>
      <c r="P19" s="107"/>
      <c r="Q19" s="110" t="s">
        <v>200</v>
      </c>
      <c r="R19" s="110" t="s">
        <v>200</v>
      </c>
      <c r="S19" s="110"/>
      <c r="T19" s="111">
        <f t="shared" si="4"/>
        <v>10</v>
      </c>
      <c r="U19" s="112"/>
      <c r="V19" s="112"/>
      <c r="W19" s="112" t="s">
        <v>200</v>
      </c>
      <c r="X19" s="113">
        <f t="shared" si="2"/>
        <v>20</v>
      </c>
      <c r="Y19" s="112" t="s">
        <v>200</v>
      </c>
      <c r="Z19" s="112"/>
      <c r="AA19" s="114"/>
      <c r="AB19" s="113">
        <f t="shared" si="0"/>
        <v>60</v>
      </c>
      <c r="AC19" s="115">
        <f t="shared" si="1"/>
        <v>90</v>
      </c>
      <c r="AD19" s="197"/>
      <c r="AE19" s="198"/>
      <c r="AF19" s="59"/>
    </row>
    <row r="20" spans="2:38" ht="56.55" customHeight="1" x14ac:dyDescent="0.3">
      <c r="B20" s="215"/>
      <c r="C20" s="177"/>
      <c r="D20" s="105" t="s">
        <v>600</v>
      </c>
      <c r="E20" s="196"/>
      <c r="F20" s="106" t="s">
        <v>411</v>
      </c>
      <c r="G20" s="107" t="s">
        <v>402</v>
      </c>
      <c r="H20" s="107" t="s">
        <v>164</v>
      </c>
      <c r="I20" s="107" t="s">
        <v>141</v>
      </c>
      <c r="J20" s="108" t="s">
        <v>423</v>
      </c>
      <c r="K20" s="108" t="s">
        <v>423</v>
      </c>
      <c r="L20" s="108" t="s">
        <v>423</v>
      </c>
      <c r="M20" s="132" t="s">
        <v>423</v>
      </c>
      <c r="N20" s="109" t="s">
        <v>602</v>
      </c>
      <c r="O20" s="133" t="s">
        <v>216</v>
      </c>
      <c r="P20" s="107"/>
      <c r="Q20" s="110" t="s">
        <v>200</v>
      </c>
      <c r="R20" s="110" t="s">
        <v>200</v>
      </c>
      <c r="S20" s="110" t="s">
        <v>200</v>
      </c>
      <c r="T20" s="111">
        <f t="shared" si="4"/>
        <v>20</v>
      </c>
      <c r="U20" s="112"/>
      <c r="V20" s="112"/>
      <c r="W20" s="112" t="s">
        <v>200</v>
      </c>
      <c r="X20" s="113">
        <f t="shared" si="2"/>
        <v>20</v>
      </c>
      <c r="Y20" s="112" t="s">
        <v>200</v>
      </c>
      <c r="Z20" s="112"/>
      <c r="AA20" s="114"/>
      <c r="AB20" s="113">
        <f t="shared" si="0"/>
        <v>60</v>
      </c>
      <c r="AC20" s="115">
        <f t="shared" si="1"/>
        <v>100</v>
      </c>
      <c r="AD20" s="197"/>
      <c r="AE20" s="198"/>
      <c r="AF20" s="59"/>
    </row>
    <row r="21" spans="2:38" ht="38.1" customHeight="1" x14ac:dyDescent="0.3">
      <c r="B21" s="215">
        <v>5</v>
      </c>
      <c r="C21" s="177" t="str">
        <f>VLOOKUP(B21,codr,6,0)</f>
        <v>Posibilidad de recuperar valores en la gestión de cobro sin el conocimiento del origen de los fondos.</v>
      </c>
      <c r="D21" s="105" t="s">
        <v>629</v>
      </c>
      <c r="E21" s="196" t="s">
        <v>408</v>
      </c>
      <c r="F21" s="106" t="s">
        <v>416</v>
      </c>
      <c r="G21" s="107" t="s">
        <v>402</v>
      </c>
      <c r="H21" s="107" t="s">
        <v>145</v>
      </c>
      <c r="I21" s="107" t="s">
        <v>139</v>
      </c>
      <c r="J21" s="108" t="s">
        <v>594</v>
      </c>
      <c r="K21" s="108" t="s">
        <v>594</v>
      </c>
      <c r="L21" s="108" t="s">
        <v>594</v>
      </c>
      <c r="M21" s="108" t="s">
        <v>594</v>
      </c>
      <c r="N21" s="109" t="s">
        <v>415</v>
      </c>
      <c r="O21" s="133" t="s">
        <v>216</v>
      </c>
      <c r="P21" s="107"/>
      <c r="Q21" s="110" t="s">
        <v>200</v>
      </c>
      <c r="R21" s="110" t="s">
        <v>200</v>
      </c>
      <c r="S21" s="110" t="s">
        <v>200</v>
      </c>
      <c r="T21" s="111">
        <f t="shared" si="4"/>
        <v>20</v>
      </c>
      <c r="U21" s="112"/>
      <c r="V21" s="112"/>
      <c r="W21" s="112" t="s">
        <v>200</v>
      </c>
      <c r="X21" s="113">
        <f t="shared" si="2"/>
        <v>20</v>
      </c>
      <c r="Y21" s="112" t="s">
        <v>200</v>
      </c>
      <c r="Z21" s="112"/>
      <c r="AA21" s="114"/>
      <c r="AB21" s="113">
        <f t="shared" si="0"/>
        <v>60</v>
      </c>
      <c r="AC21" s="115">
        <f t="shared" si="1"/>
        <v>100</v>
      </c>
      <c r="AD21" s="197">
        <f t="shared" ref="AD21" si="11">ROUND(IF(AND(AC23=-1,AC22=-1),AC21,IF(AC23=-1,AVERAGE(AC21:AC22),IF(AND(AC23&gt;=0,AC22&gt;=0,AC21&gt;=0),AVERAGE(AC21:AC23)))),0)</f>
        <v>97</v>
      </c>
      <c r="AE21" s="198" t="str">
        <f t="shared" ref="AE21" si="12">IF(AND(AD21&lt;20,AD21&gt;=0),"CRITICA",IF(AND(AD21&lt;61,AD21&gt;=20),"BAJA",IF(AND(AD21&lt;91,AD21&gt;=61),"BUENA",IF(AND(AD21&lt;=100,AD21&gt;=91),"EXCELENTE",0))))</f>
        <v>EXCELENTE</v>
      </c>
      <c r="AF21" s="59"/>
    </row>
    <row r="22" spans="2:38" ht="50.55" customHeight="1" x14ac:dyDescent="0.3">
      <c r="B22" s="215"/>
      <c r="C22" s="177"/>
      <c r="D22" s="105" t="s">
        <v>609</v>
      </c>
      <c r="E22" s="196"/>
      <c r="F22" s="106" t="s">
        <v>414</v>
      </c>
      <c r="G22" s="107" t="s">
        <v>402</v>
      </c>
      <c r="H22" s="107" t="s">
        <v>412</v>
      </c>
      <c r="I22" s="107" t="s">
        <v>139</v>
      </c>
      <c r="J22" s="108" t="s">
        <v>603</v>
      </c>
      <c r="K22" s="108" t="s">
        <v>603</v>
      </c>
      <c r="L22" s="108" t="s">
        <v>603</v>
      </c>
      <c r="M22" s="108" t="s">
        <v>603</v>
      </c>
      <c r="N22" s="109" t="s">
        <v>608</v>
      </c>
      <c r="O22" s="133" t="s">
        <v>216</v>
      </c>
      <c r="P22" s="107"/>
      <c r="Q22" s="110" t="s">
        <v>200</v>
      </c>
      <c r="R22" s="110" t="s">
        <v>200</v>
      </c>
      <c r="S22" s="110"/>
      <c r="T22" s="111">
        <f t="shared" si="4"/>
        <v>10</v>
      </c>
      <c r="U22" s="112"/>
      <c r="V22" s="112"/>
      <c r="W22" s="112" t="s">
        <v>200</v>
      </c>
      <c r="X22" s="113">
        <f t="shared" si="2"/>
        <v>20</v>
      </c>
      <c r="Y22" s="112" t="s">
        <v>200</v>
      </c>
      <c r="Z22" s="112"/>
      <c r="AA22" s="114"/>
      <c r="AB22" s="113">
        <f t="shared" si="0"/>
        <v>60</v>
      </c>
      <c r="AC22" s="115">
        <f t="shared" si="1"/>
        <v>90</v>
      </c>
      <c r="AD22" s="197"/>
      <c r="AE22" s="198"/>
      <c r="AF22" s="59"/>
    </row>
    <row r="23" spans="2:38" ht="64.5" customHeight="1" x14ac:dyDescent="0.3">
      <c r="B23" s="215"/>
      <c r="C23" s="177"/>
      <c r="D23" s="105" t="s">
        <v>576</v>
      </c>
      <c r="E23" s="196"/>
      <c r="F23" s="106" t="s">
        <v>416</v>
      </c>
      <c r="G23" s="107" t="s">
        <v>402</v>
      </c>
      <c r="H23" s="107" t="s">
        <v>145</v>
      </c>
      <c r="I23" s="107" t="s">
        <v>143</v>
      </c>
      <c r="J23" s="108" t="s">
        <v>599</v>
      </c>
      <c r="K23" s="108" t="s">
        <v>599</v>
      </c>
      <c r="L23" s="108" t="s">
        <v>594</v>
      </c>
      <c r="M23" s="108" t="s">
        <v>594</v>
      </c>
      <c r="N23" s="109" t="s">
        <v>415</v>
      </c>
      <c r="O23" s="133" t="s">
        <v>216</v>
      </c>
      <c r="P23" s="107"/>
      <c r="Q23" s="110" t="s">
        <v>200</v>
      </c>
      <c r="R23" s="110" t="s">
        <v>200</v>
      </c>
      <c r="S23" s="110" t="s">
        <v>200</v>
      </c>
      <c r="T23" s="111">
        <f t="shared" si="4"/>
        <v>20</v>
      </c>
      <c r="U23" s="112"/>
      <c r="V23" s="112"/>
      <c r="W23" s="112" t="s">
        <v>200</v>
      </c>
      <c r="X23" s="113">
        <f t="shared" si="2"/>
        <v>20</v>
      </c>
      <c r="Y23" s="112" t="s">
        <v>200</v>
      </c>
      <c r="Z23" s="112"/>
      <c r="AA23" s="114"/>
      <c r="AB23" s="113">
        <f t="shared" si="0"/>
        <v>60</v>
      </c>
      <c r="AC23" s="115">
        <f t="shared" si="1"/>
        <v>100</v>
      </c>
      <c r="AD23" s="197"/>
      <c r="AE23" s="198"/>
      <c r="AF23" s="59"/>
    </row>
    <row r="24" spans="2:38" ht="73.5" customHeight="1" x14ac:dyDescent="0.3">
      <c r="B24" s="215">
        <v>6</v>
      </c>
      <c r="C24" s="177" t="str">
        <f>VLOOKUP(B24,codr,6,0)</f>
        <v>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v>
      </c>
      <c r="D24" s="105" t="s">
        <v>596</v>
      </c>
      <c r="E24" s="196" t="s">
        <v>408</v>
      </c>
      <c r="F24" s="106" t="s">
        <v>410</v>
      </c>
      <c r="G24" s="107" t="s">
        <v>403</v>
      </c>
      <c r="H24" s="107" t="s">
        <v>145</v>
      </c>
      <c r="I24" s="107" t="s">
        <v>143</v>
      </c>
      <c r="J24" s="108" t="s">
        <v>594</v>
      </c>
      <c r="K24" s="108" t="s">
        <v>594</v>
      </c>
      <c r="L24" s="108" t="s">
        <v>594</v>
      </c>
      <c r="M24" s="132" t="s">
        <v>423</v>
      </c>
      <c r="N24" s="109" t="s">
        <v>415</v>
      </c>
      <c r="O24" s="133" t="s">
        <v>215</v>
      </c>
      <c r="P24" s="107"/>
      <c r="Q24" s="110" t="s">
        <v>200</v>
      </c>
      <c r="R24" s="110"/>
      <c r="S24" s="110"/>
      <c r="T24" s="111">
        <f t="shared" si="4"/>
        <v>3</v>
      </c>
      <c r="U24" s="112"/>
      <c r="V24" s="112"/>
      <c r="W24" s="112" t="s">
        <v>200</v>
      </c>
      <c r="X24" s="113">
        <f t="shared" si="2"/>
        <v>20</v>
      </c>
      <c r="Y24" s="112" t="s">
        <v>200</v>
      </c>
      <c r="Z24" s="112"/>
      <c r="AA24" s="114"/>
      <c r="AB24" s="113">
        <f t="shared" si="0"/>
        <v>60</v>
      </c>
      <c r="AC24" s="115">
        <f t="shared" si="1"/>
        <v>83</v>
      </c>
      <c r="AD24" s="197">
        <f t="shared" ref="AD24" si="13">ROUND(IF(AND(AC26=-1,AC25=-1),AC24,IF(AC26=-1,AVERAGE(AC24:AC25),IF(AND(AC26&gt;=0,AC25&gt;=0,AC24&gt;=0),AVERAGE(AC24:AC26)))),0)</f>
        <v>61</v>
      </c>
      <c r="AE24" s="198" t="str">
        <f t="shared" ref="AE24" si="14">IF(AND(AD24&lt;20,AD24&gt;=0),"CRITICA",IF(AND(AD24&lt;61,AD24&gt;=20),"BAJA",IF(AND(AD24&lt;91,AD24&gt;=61),"BUENA",IF(AND(AD24&lt;=100,AD24&gt;=91),"EXCELENTE",0))))</f>
        <v>BUENA</v>
      </c>
      <c r="AF24" s="59"/>
    </row>
    <row r="25" spans="2:38" ht="38.1" customHeight="1" x14ac:dyDescent="0.3">
      <c r="B25" s="215"/>
      <c r="C25" s="177"/>
      <c r="D25" s="105" t="s">
        <v>577</v>
      </c>
      <c r="E25" s="196"/>
      <c r="F25" s="106" t="s">
        <v>411</v>
      </c>
      <c r="G25" s="107" t="s">
        <v>402</v>
      </c>
      <c r="H25" s="107" t="s">
        <v>146</v>
      </c>
      <c r="I25" s="107" t="s">
        <v>139</v>
      </c>
      <c r="J25" s="108" t="s">
        <v>423</v>
      </c>
      <c r="K25" s="108" t="s">
        <v>423</v>
      </c>
      <c r="L25" s="108" t="s">
        <v>594</v>
      </c>
      <c r="M25" s="132" t="s">
        <v>423</v>
      </c>
      <c r="N25" s="109" t="s">
        <v>610</v>
      </c>
      <c r="O25" s="133" t="s">
        <v>215</v>
      </c>
      <c r="P25" s="107" t="s">
        <v>200</v>
      </c>
      <c r="Q25" s="110"/>
      <c r="R25" s="110"/>
      <c r="S25" s="110"/>
      <c r="T25" s="111">
        <f t="shared" si="4"/>
        <v>0</v>
      </c>
      <c r="U25" s="112" t="s">
        <v>200</v>
      </c>
      <c r="V25" s="112"/>
      <c r="W25" s="112"/>
      <c r="X25" s="113">
        <f t="shared" si="2"/>
        <v>0</v>
      </c>
      <c r="Y25" s="112"/>
      <c r="Z25" s="112" t="s">
        <v>200</v>
      </c>
      <c r="AA25" s="114"/>
      <c r="AB25" s="113">
        <f t="shared" si="0"/>
        <v>0</v>
      </c>
      <c r="AC25" s="115">
        <f t="shared" si="1"/>
        <v>0</v>
      </c>
      <c r="AD25" s="197"/>
      <c r="AE25" s="198"/>
      <c r="AF25" s="59"/>
    </row>
    <row r="26" spans="2:38" ht="72" customHeight="1" x14ac:dyDescent="0.3">
      <c r="B26" s="215"/>
      <c r="C26" s="177"/>
      <c r="D26" s="105" t="s">
        <v>578</v>
      </c>
      <c r="E26" s="196"/>
      <c r="F26" s="106" t="s">
        <v>416</v>
      </c>
      <c r="G26" s="107" t="s">
        <v>402</v>
      </c>
      <c r="H26" s="107" t="s">
        <v>146</v>
      </c>
      <c r="I26" s="107" t="s">
        <v>139</v>
      </c>
      <c r="J26" s="108" t="s">
        <v>594</v>
      </c>
      <c r="K26" s="108" t="s">
        <v>594</v>
      </c>
      <c r="L26" s="108" t="s">
        <v>594</v>
      </c>
      <c r="M26" s="108" t="s">
        <v>594</v>
      </c>
      <c r="N26" s="109" t="s">
        <v>595</v>
      </c>
      <c r="O26" s="133" t="s">
        <v>216</v>
      </c>
      <c r="P26" s="107"/>
      <c r="Q26" s="110" t="s">
        <v>200</v>
      </c>
      <c r="R26" s="110" t="s">
        <v>200</v>
      </c>
      <c r="S26" s="110" t="s">
        <v>200</v>
      </c>
      <c r="T26" s="111">
        <f t="shared" si="4"/>
        <v>20</v>
      </c>
      <c r="U26" s="112"/>
      <c r="V26" s="112"/>
      <c r="W26" s="112" t="s">
        <v>200</v>
      </c>
      <c r="X26" s="113">
        <f t="shared" si="2"/>
        <v>20</v>
      </c>
      <c r="Y26" s="112" t="s">
        <v>200</v>
      </c>
      <c r="Z26" s="112"/>
      <c r="AA26" s="114"/>
      <c r="AB26" s="113">
        <f t="shared" si="0"/>
        <v>60</v>
      </c>
      <c r="AC26" s="115">
        <f t="shared" si="1"/>
        <v>100</v>
      </c>
      <c r="AD26" s="197"/>
      <c r="AE26" s="198"/>
      <c r="AF26" s="59"/>
    </row>
    <row r="27" spans="2:38" ht="38.1" customHeight="1" x14ac:dyDescent="0.3">
      <c r="B27" s="216">
        <v>7</v>
      </c>
      <c r="C27" s="177" t="str">
        <f>VLOOKUP(B27,codr,6,0)</f>
        <v>Posibilidad de tener algún tipo de vínculo contractual con Personas Expuestas Políticamente (PEP) que se puedan aprovechar de su condición para realizar actividades de LA/FT/FPADM. (No es problemático tener esta relación contractual, el problema está en desconocerla)</v>
      </c>
      <c r="D27" s="105" t="s">
        <v>611</v>
      </c>
      <c r="E27" s="196" t="s">
        <v>408</v>
      </c>
      <c r="F27" s="106" t="s">
        <v>416</v>
      </c>
      <c r="G27" s="107" t="s">
        <v>402</v>
      </c>
      <c r="H27" s="107" t="s">
        <v>145</v>
      </c>
      <c r="I27" s="107" t="s">
        <v>139</v>
      </c>
      <c r="J27" s="108" t="s">
        <v>594</v>
      </c>
      <c r="K27" s="108" t="s">
        <v>594</v>
      </c>
      <c r="L27" s="108" t="s">
        <v>594</v>
      </c>
      <c r="M27" s="108" t="s">
        <v>594</v>
      </c>
      <c r="N27" s="109" t="s">
        <v>610</v>
      </c>
      <c r="O27" s="133" t="s">
        <v>216</v>
      </c>
      <c r="P27" s="107"/>
      <c r="Q27" s="110" t="s">
        <v>200</v>
      </c>
      <c r="R27" s="110" t="s">
        <v>200</v>
      </c>
      <c r="S27" s="110" t="s">
        <v>200</v>
      </c>
      <c r="T27" s="111">
        <f t="shared" si="4"/>
        <v>20</v>
      </c>
      <c r="U27" s="112"/>
      <c r="V27" s="112"/>
      <c r="W27" s="112" t="s">
        <v>200</v>
      </c>
      <c r="X27" s="113">
        <f t="shared" si="2"/>
        <v>20</v>
      </c>
      <c r="Y27" s="112" t="s">
        <v>200</v>
      </c>
      <c r="Z27" s="112"/>
      <c r="AA27" s="114"/>
      <c r="AB27" s="113">
        <f t="shared" si="0"/>
        <v>60</v>
      </c>
      <c r="AC27" s="115">
        <f t="shared" si="1"/>
        <v>100</v>
      </c>
      <c r="AD27" s="197">
        <f t="shared" ref="AD27" si="15">ROUND(IF(AND(AC29=-1,AC28=-1),AC27,IF(AC29=-1,AVERAGE(AC27:AC28),IF(AND(AC29&gt;=0,AC28&gt;=0,AC27&gt;=0),AVERAGE(AC27:AC29)))),0)</f>
        <v>100</v>
      </c>
      <c r="AE27" s="198" t="str">
        <f t="shared" ref="AE27" si="16">IF(AND(AD27&lt;20,AD27&gt;=0),"CRITICA",IF(AND(AD27&lt;61,AD27&gt;=20),"BAJA",IF(AND(AD27&lt;91,AD27&gt;=61),"BUENA",IF(AND(AD27&lt;=100,AD27&gt;=91),"EXCELENTE",0))))</f>
        <v>EXCELENTE</v>
      </c>
      <c r="AF27" s="59"/>
    </row>
    <row r="28" spans="2:38" ht="38.1" customHeight="1" x14ac:dyDescent="0.3">
      <c r="B28" s="217"/>
      <c r="C28" s="177"/>
      <c r="D28" s="105" t="s">
        <v>612</v>
      </c>
      <c r="E28" s="196"/>
      <c r="F28" s="106" t="s">
        <v>410</v>
      </c>
      <c r="G28" s="107" t="s">
        <v>402</v>
      </c>
      <c r="H28" s="107" t="s">
        <v>146</v>
      </c>
      <c r="I28" s="107" t="s">
        <v>139</v>
      </c>
      <c r="J28" s="108" t="s">
        <v>594</v>
      </c>
      <c r="K28" s="108" t="s">
        <v>594</v>
      </c>
      <c r="L28" s="108" t="s">
        <v>594</v>
      </c>
      <c r="M28" s="108" t="s">
        <v>594</v>
      </c>
      <c r="N28" s="109" t="s">
        <v>610</v>
      </c>
      <c r="O28" s="133" t="s">
        <v>216</v>
      </c>
      <c r="P28" s="107"/>
      <c r="Q28" s="110" t="s">
        <v>200</v>
      </c>
      <c r="R28" s="110" t="s">
        <v>200</v>
      </c>
      <c r="S28" s="110" t="s">
        <v>200</v>
      </c>
      <c r="T28" s="111">
        <f t="shared" si="4"/>
        <v>20</v>
      </c>
      <c r="U28" s="112"/>
      <c r="V28" s="112"/>
      <c r="W28" s="112" t="s">
        <v>200</v>
      </c>
      <c r="X28" s="113">
        <f t="shared" si="2"/>
        <v>20</v>
      </c>
      <c r="Y28" s="112" t="s">
        <v>200</v>
      </c>
      <c r="Z28" s="112"/>
      <c r="AA28" s="114"/>
      <c r="AB28" s="113">
        <f t="shared" si="0"/>
        <v>60</v>
      </c>
      <c r="AC28" s="115">
        <f t="shared" si="1"/>
        <v>100</v>
      </c>
      <c r="AD28" s="197"/>
      <c r="AE28" s="198"/>
      <c r="AF28" s="59"/>
    </row>
    <row r="29" spans="2:38" ht="79.05" customHeight="1" x14ac:dyDescent="0.3">
      <c r="B29" s="218"/>
      <c r="C29" s="177"/>
      <c r="D29" s="105" t="s">
        <v>613</v>
      </c>
      <c r="E29" s="196"/>
      <c r="F29" s="106" t="s">
        <v>416</v>
      </c>
      <c r="G29" s="107" t="s">
        <v>402</v>
      </c>
      <c r="H29" s="107" t="s">
        <v>146</v>
      </c>
      <c r="I29" s="107" t="s">
        <v>139</v>
      </c>
      <c r="J29" s="108" t="s">
        <v>594</v>
      </c>
      <c r="K29" s="108" t="s">
        <v>594</v>
      </c>
      <c r="L29" s="108" t="s">
        <v>594</v>
      </c>
      <c r="M29" s="108" t="s">
        <v>594</v>
      </c>
      <c r="N29" s="109" t="s">
        <v>595</v>
      </c>
      <c r="O29" s="133" t="s">
        <v>216</v>
      </c>
      <c r="P29" s="107"/>
      <c r="Q29" s="110" t="s">
        <v>200</v>
      </c>
      <c r="R29" s="110" t="s">
        <v>200</v>
      </c>
      <c r="S29" s="110" t="s">
        <v>200</v>
      </c>
      <c r="T29" s="111">
        <f t="shared" si="4"/>
        <v>20</v>
      </c>
      <c r="U29" s="112"/>
      <c r="V29" s="112"/>
      <c r="W29" s="112" t="s">
        <v>200</v>
      </c>
      <c r="X29" s="113">
        <f t="shared" si="2"/>
        <v>20</v>
      </c>
      <c r="Y29" s="112" t="s">
        <v>200</v>
      </c>
      <c r="Z29" s="112"/>
      <c r="AA29" s="114"/>
      <c r="AB29" s="113">
        <f t="shared" si="0"/>
        <v>60</v>
      </c>
      <c r="AC29" s="115">
        <f t="shared" si="1"/>
        <v>100</v>
      </c>
      <c r="AD29" s="197"/>
      <c r="AE29" s="198"/>
      <c r="AF29" s="59"/>
    </row>
    <row r="30" spans="2:38" ht="52.5" customHeight="1" x14ac:dyDescent="0.3">
      <c r="B30" s="163">
        <v>8</v>
      </c>
      <c r="C30" s="160" t="str">
        <f>VLOOKUP(B30,codr,6,0)</f>
        <v>Posibilidad de no incluir en el Plan Estratégico de la Lotería, el tema de LA/FT/FPADM.</v>
      </c>
      <c r="D30" s="105" t="s">
        <v>630</v>
      </c>
      <c r="E30" s="161" t="s">
        <v>408</v>
      </c>
      <c r="F30" s="106" t="s">
        <v>409</v>
      </c>
      <c r="G30" s="107" t="s">
        <v>402</v>
      </c>
      <c r="H30" s="107" t="s">
        <v>146</v>
      </c>
      <c r="I30" s="107" t="s">
        <v>139</v>
      </c>
      <c r="J30" s="108" t="s">
        <v>614</v>
      </c>
      <c r="K30" s="108" t="s">
        <v>614</v>
      </c>
      <c r="L30" s="108" t="s">
        <v>614</v>
      </c>
      <c r="M30" s="108" t="s">
        <v>614</v>
      </c>
      <c r="N30" s="109" t="s">
        <v>415</v>
      </c>
      <c r="O30" s="133" t="s">
        <v>216</v>
      </c>
      <c r="P30" s="107"/>
      <c r="Q30" s="110" t="s">
        <v>200</v>
      </c>
      <c r="R30" s="110" t="s">
        <v>200</v>
      </c>
      <c r="S30" s="110" t="s">
        <v>200</v>
      </c>
      <c r="T30" s="111">
        <f t="shared" si="4"/>
        <v>20</v>
      </c>
      <c r="U30" s="112"/>
      <c r="V30" s="112"/>
      <c r="W30" s="112" t="s">
        <v>200</v>
      </c>
      <c r="X30" s="113">
        <f t="shared" si="2"/>
        <v>20</v>
      </c>
      <c r="Y30" s="112" t="s">
        <v>200</v>
      </c>
      <c r="Z30" s="112"/>
      <c r="AA30" s="114"/>
      <c r="AB30" s="113">
        <f t="shared" si="0"/>
        <v>60</v>
      </c>
      <c r="AC30" s="115">
        <f t="shared" si="1"/>
        <v>100</v>
      </c>
      <c r="AD30" s="115">
        <f>ROUND(AC30,0)</f>
        <v>100</v>
      </c>
      <c r="AE30" s="114" t="str">
        <f t="shared" ref="AE30" si="17">IF(AND(AD30&lt;20,AD30&gt;=0),"CRITICA",IF(AND(AD30&lt;61,AD30&gt;=20),"BAJA",IF(AND(AD30&lt;91,AD30&gt;=61),"BUENA",IF(AND(AD30&lt;=100,AD30&gt;=91),"EXCELENTE",0))))</f>
        <v>EXCELENTE</v>
      </c>
      <c r="AF30" s="59"/>
    </row>
    <row r="31" spans="2:38" ht="50.1" customHeight="1" x14ac:dyDescent="0.3">
      <c r="B31" s="216">
        <v>9</v>
      </c>
      <c r="C31" s="177" t="str">
        <f>VLOOKUP(B31,codr,6,0)</f>
        <v>Posibilidad de tener vínculo contractual con contrapartes internas y externas sobre los que se ha emitido información negativa en medios de comunicación, están o han estado incluídos en procesos judiciales o administrativos por delitos relacionados con LA/FT/FPADM, que puedan permear a la Lotería de Bogotá</v>
      </c>
      <c r="D31" s="105" t="s">
        <v>617</v>
      </c>
      <c r="E31" s="196" t="s">
        <v>408</v>
      </c>
      <c r="F31" s="106" t="s">
        <v>416</v>
      </c>
      <c r="G31" s="107" t="s">
        <v>403</v>
      </c>
      <c r="H31" s="107" t="s">
        <v>412</v>
      </c>
      <c r="I31" s="107" t="s">
        <v>141</v>
      </c>
      <c r="J31" s="108" t="s">
        <v>594</v>
      </c>
      <c r="K31" s="108" t="s">
        <v>594</v>
      </c>
      <c r="L31" s="108" t="s">
        <v>594</v>
      </c>
      <c r="M31" s="108" t="s">
        <v>594</v>
      </c>
      <c r="N31" s="109" t="s">
        <v>415</v>
      </c>
      <c r="O31" s="133" t="s">
        <v>216</v>
      </c>
      <c r="P31" s="107"/>
      <c r="Q31" s="110" t="s">
        <v>200</v>
      </c>
      <c r="R31" s="110" t="s">
        <v>200</v>
      </c>
      <c r="S31" s="110" t="s">
        <v>200</v>
      </c>
      <c r="T31" s="111">
        <f t="shared" si="4"/>
        <v>20</v>
      </c>
      <c r="U31" s="112"/>
      <c r="V31" s="112"/>
      <c r="W31" s="112" t="s">
        <v>200</v>
      </c>
      <c r="X31" s="113">
        <f t="shared" si="2"/>
        <v>20</v>
      </c>
      <c r="Y31" s="112" t="s">
        <v>200</v>
      </c>
      <c r="Z31" s="112"/>
      <c r="AA31" s="114"/>
      <c r="AB31" s="113">
        <f t="shared" si="0"/>
        <v>60</v>
      </c>
      <c r="AC31" s="115">
        <f t="shared" si="1"/>
        <v>100</v>
      </c>
      <c r="AD31" s="199">
        <f>ROUND(IF(AC32=-1,AC31,IF(AND(AC32&gt;=0,AC31&gt;=0),AVERAGE(AC31:AC32))),0)</f>
        <v>50</v>
      </c>
      <c r="AE31" s="201" t="str">
        <f t="shared" ref="AE31" si="18">IF(AND(AD31&lt;20,AD31&gt;=0),"CRITICA",IF(AND(AD31&lt;61,AD31&gt;=20),"BAJA",IF(AND(AD31&lt;91,AD31&gt;=61),"BUENA",IF(AND(AD31&lt;=100,AD31&gt;=91),"EXCELENTE",0))))</f>
        <v>BAJA</v>
      </c>
      <c r="AF31" s="59"/>
    </row>
    <row r="32" spans="2:38" ht="50.1" customHeight="1" x14ac:dyDescent="0.3">
      <c r="B32" s="217"/>
      <c r="C32" s="177"/>
      <c r="D32" s="105" t="s">
        <v>615</v>
      </c>
      <c r="E32" s="196"/>
      <c r="F32" s="106" t="s">
        <v>410</v>
      </c>
      <c r="G32" s="107" t="s">
        <v>403</v>
      </c>
      <c r="H32" s="107" t="s">
        <v>144</v>
      </c>
      <c r="I32" s="107" t="s">
        <v>139</v>
      </c>
      <c r="J32" s="108" t="s">
        <v>616</v>
      </c>
      <c r="K32" s="108" t="s">
        <v>616</v>
      </c>
      <c r="L32" s="108" t="s">
        <v>616</v>
      </c>
      <c r="M32" s="108" t="s">
        <v>616</v>
      </c>
      <c r="N32" s="109" t="s">
        <v>415</v>
      </c>
      <c r="O32" s="133" t="s">
        <v>215</v>
      </c>
      <c r="P32" s="107" t="s">
        <v>200</v>
      </c>
      <c r="Q32" s="110"/>
      <c r="R32" s="110"/>
      <c r="S32" s="110"/>
      <c r="T32" s="111">
        <f t="shared" si="4"/>
        <v>0</v>
      </c>
      <c r="U32" s="112" t="s">
        <v>200</v>
      </c>
      <c r="V32" s="112"/>
      <c r="W32" s="112"/>
      <c r="X32" s="113">
        <f t="shared" si="2"/>
        <v>0</v>
      </c>
      <c r="Y32" s="112"/>
      <c r="Z32" s="112" t="s">
        <v>200</v>
      </c>
      <c r="AA32" s="114"/>
      <c r="AB32" s="113">
        <f t="shared" si="0"/>
        <v>0</v>
      </c>
      <c r="AC32" s="115">
        <f t="shared" si="1"/>
        <v>0</v>
      </c>
      <c r="AD32" s="200"/>
      <c r="AE32" s="202"/>
      <c r="AF32" s="59"/>
    </row>
    <row r="33" spans="2:42" ht="67.05" customHeight="1" x14ac:dyDescent="0.3">
      <c r="B33" s="216">
        <v>10</v>
      </c>
      <c r="C33" s="177" t="str">
        <f>VLOOKUP(B33,codr,6,0)</f>
        <v xml:space="preserve">Posibilidad de pérdida y/o extracción de información relacionada con las bases de datos de la Lotería, que pueda ser utilizada por terceros para realizar actividades de LA/FT/FPADM. </v>
      </c>
      <c r="D33" s="105" t="s">
        <v>581</v>
      </c>
      <c r="E33" s="196" t="s">
        <v>408</v>
      </c>
      <c r="F33" s="106" t="s">
        <v>411</v>
      </c>
      <c r="G33" s="107" t="s">
        <v>402</v>
      </c>
      <c r="H33" s="107" t="s">
        <v>146</v>
      </c>
      <c r="I33" s="107" t="s">
        <v>139</v>
      </c>
      <c r="J33" s="108" t="s">
        <v>618</v>
      </c>
      <c r="K33" s="108" t="s">
        <v>618</v>
      </c>
      <c r="L33" s="108" t="s">
        <v>618</v>
      </c>
      <c r="M33" s="108" t="s">
        <v>618</v>
      </c>
      <c r="N33" s="109" t="s">
        <v>595</v>
      </c>
      <c r="O33" s="133" t="s">
        <v>35</v>
      </c>
      <c r="P33" s="107"/>
      <c r="Q33" s="110" t="s">
        <v>200</v>
      </c>
      <c r="R33" s="110" t="s">
        <v>200</v>
      </c>
      <c r="S33" s="110" t="s">
        <v>200</v>
      </c>
      <c r="T33" s="111">
        <f t="shared" si="4"/>
        <v>20</v>
      </c>
      <c r="U33" s="112"/>
      <c r="V33" s="112"/>
      <c r="W33" s="112" t="s">
        <v>200</v>
      </c>
      <c r="X33" s="113">
        <f t="shared" si="2"/>
        <v>20</v>
      </c>
      <c r="Y33" s="112" t="s">
        <v>200</v>
      </c>
      <c r="Z33" s="112"/>
      <c r="AA33" s="114"/>
      <c r="AB33" s="113">
        <f t="shared" si="0"/>
        <v>60</v>
      </c>
      <c r="AC33" s="115">
        <f t="shared" si="1"/>
        <v>100</v>
      </c>
      <c r="AD33" s="197">
        <f>ROUND(IF(AC34=-1,AC33,IF(AND(AC34&gt;=0,AC33&gt;=0),AVERAGE(AC33:AC34))),0)</f>
        <v>100</v>
      </c>
      <c r="AE33" s="198" t="str">
        <f t="shared" ref="AE33" si="19">IF(AND(AD33&lt;20,AD33&gt;=0),"CRITICA",IF(AND(AD33&lt;61,AD33&gt;=20),"BAJA",IF(AND(AD33&lt;91,AD33&gt;=61),"BUENA",IF(AND(AD33&lt;=100,AD33&gt;=91),"EXCELENTE",0))))</f>
        <v>EXCELENTE</v>
      </c>
      <c r="AF33" s="59"/>
    </row>
    <row r="34" spans="2:42" ht="38.1" customHeight="1" x14ac:dyDescent="0.3">
      <c r="B34" s="217"/>
      <c r="C34" s="177"/>
      <c r="D34" s="105" t="s">
        <v>580</v>
      </c>
      <c r="E34" s="196"/>
      <c r="F34" s="106" t="s">
        <v>416</v>
      </c>
      <c r="G34" s="107" t="s">
        <v>402</v>
      </c>
      <c r="H34" s="107" t="s">
        <v>412</v>
      </c>
      <c r="I34" s="107" t="s">
        <v>141</v>
      </c>
      <c r="J34" s="108" t="s">
        <v>619</v>
      </c>
      <c r="K34" s="108" t="s">
        <v>619</v>
      </c>
      <c r="L34" s="108" t="s">
        <v>619</v>
      </c>
      <c r="M34" s="108" t="s">
        <v>619</v>
      </c>
      <c r="N34" s="109" t="s">
        <v>415</v>
      </c>
      <c r="O34" s="133" t="s">
        <v>216</v>
      </c>
      <c r="P34" s="107"/>
      <c r="Q34" s="110" t="s">
        <v>200</v>
      </c>
      <c r="R34" s="110" t="s">
        <v>200</v>
      </c>
      <c r="S34" s="110" t="s">
        <v>200</v>
      </c>
      <c r="T34" s="111">
        <f t="shared" si="4"/>
        <v>20</v>
      </c>
      <c r="U34" s="112"/>
      <c r="V34" s="112"/>
      <c r="W34" s="112" t="s">
        <v>200</v>
      </c>
      <c r="X34" s="113">
        <f t="shared" si="2"/>
        <v>20</v>
      </c>
      <c r="Y34" s="112" t="s">
        <v>200</v>
      </c>
      <c r="Z34" s="112"/>
      <c r="AA34" s="114"/>
      <c r="AB34" s="113">
        <f t="shared" si="0"/>
        <v>60</v>
      </c>
      <c r="AC34" s="115">
        <f t="shared" si="1"/>
        <v>100</v>
      </c>
      <c r="AD34" s="197"/>
      <c r="AE34" s="198"/>
      <c r="AF34" s="59"/>
    </row>
    <row r="35" spans="2:42" ht="52.05" customHeight="1" x14ac:dyDescent="0.3">
      <c r="B35" s="216">
        <v>11</v>
      </c>
      <c r="C35" s="177" t="str">
        <f>VLOOKUP(B35,codr,6,0)</f>
        <v>Posibilidad de pagar premios a usuarios y/o clientes en la página web de la Lotería o de manera tradicional, sin verificar la identidad del ganador y/o que este relacionado en actividades de LA/FT/FPADM.</v>
      </c>
      <c r="D35" s="105" t="s">
        <v>621</v>
      </c>
      <c r="E35" s="196" t="s">
        <v>408</v>
      </c>
      <c r="F35" s="106" t="s">
        <v>416</v>
      </c>
      <c r="G35" s="107" t="s">
        <v>403</v>
      </c>
      <c r="H35" s="107" t="s">
        <v>412</v>
      </c>
      <c r="I35" s="107" t="s">
        <v>139</v>
      </c>
      <c r="J35" s="108" t="s">
        <v>622</v>
      </c>
      <c r="K35" s="108" t="s">
        <v>622</v>
      </c>
      <c r="L35" s="108" t="s">
        <v>622</v>
      </c>
      <c r="M35" s="108" t="s">
        <v>622</v>
      </c>
      <c r="N35" s="109" t="s">
        <v>610</v>
      </c>
      <c r="O35" s="133" t="s">
        <v>216</v>
      </c>
      <c r="P35" s="107"/>
      <c r="Q35" s="110" t="s">
        <v>200</v>
      </c>
      <c r="R35" s="110" t="s">
        <v>200</v>
      </c>
      <c r="S35" s="110" t="s">
        <v>200</v>
      </c>
      <c r="T35" s="111">
        <f t="shared" si="4"/>
        <v>20</v>
      </c>
      <c r="U35" s="112"/>
      <c r="V35" s="112"/>
      <c r="W35" s="112" t="s">
        <v>200</v>
      </c>
      <c r="X35" s="113">
        <f t="shared" si="2"/>
        <v>20</v>
      </c>
      <c r="Y35" s="112" t="s">
        <v>200</v>
      </c>
      <c r="Z35" s="112"/>
      <c r="AA35" s="114"/>
      <c r="AB35" s="113">
        <f t="shared" si="0"/>
        <v>60</v>
      </c>
      <c r="AC35" s="115">
        <f t="shared" si="1"/>
        <v>100</v>
      </c>
      <c r="AD35" s="197">
        <f t="shared" ref="AD35" si="20">ROUND(IF(AND(AC37=-1,AC36=-1),AC35,IF(AC37=-1,AVERAGE(AC35:AC36),IF(AND(AC37&gt;=0,AC36&gt;=0,AC35&gt;=0),AVERAGE(AC35:AC37)))),0)</f>
        <v>100</v>
      </c>
      <c r="AE35" s="198" t="str">
        <f t="shared" ref="AE35" si="21">IF(AND(AD35&lt;20,AD35&gt;=0),"CRITICA",IF(AND(AD35&lt;61,AD35&gt;=20),"BAJA",IF(AND(AD35&lt;91,AD35&gt;=61),"BUENA",IF(AND(AD35&lt;=100,AD35&gt;=91),"EXCELENTE",0))))</f>
        <v>EXCELENTE</v>
      </c>
      <c r="AF35" s="59"/>
    </row>
    <row r="36" spans="2:42" ht="63" customHeight="1" x14ac:dyDescent="0.3">
      <c r="B36" s="217"/>
      <c r="C36" s="177"/>
      <c r="D36" s="105" t="s">
        <v>623</v>
      </c>
      <c r="E36" s="196"/>
      <c r="F36" s="106" t="s">
        <v>410</v>
      </c>
      <c r="G36" s="107" t="s">
        <v>403</v>
      </c>
      <c r="H36" s="107" t="s">
        <v>412</v>
      </c>
      <c r="I36" s="107" t="s">
        <v>143</v>
      </c>
      <c r="J36" s="108" t="s">
        <v>622</v>
      </c>
      <c r="K36" s="108" t="s">
        <v>622</v>
      </c>
      <c r="L36" s="108" t="s">
        <v>622</v>
      </c>
      <c r="M36" s="108" t="s">
        <v>622</v>
      </c>
      <c r="N36" s="109" t="s">
        <v>415</v>
      </c>
      <c r="O36" s="133" t="s">
        <v>216</v>
      </c>
      <c r="P36" s="107"/>
      <c r="Q36" s="110" t="s">
        <v>200</v>
      </c>
      <c r="R36" s="110" t="s">
        <v>200</v>
      </c>
      <c r="S36" s="110" t="s">
        <v>200</v>
      </c>
      <c r="T36" s="111">
        <f t="shared" si="4"/>
        <v>20</v>
      </c>
      <c r="U36" s="112"/>
      <c r="V36" s="112"/>
      <c r="W36" s="112" t="s">
        <v>200</v>
      </c>
      <c r="X36" s="113">
        <f t="shared" si="2"/>
        <v>20</v>
      </c>
      <c r="Y36" s="112" t="s">
        <v>200</v>
      </c>
      <c r="Z36" s="112"/>
      <c r="AA36" s="114"/>
      <c r="AB36" s="113">
        <f t="shared" si="0"/>
        <v>60</v>
      </c>
      <c r="AC36" s="115">
        <f t="shared" si="1"/>
        <v>100</v>
      </c>
      <c r="AD36" s="197"/>
      <c r="AE36" s="198"/>
      <c r="AF36" s="59"/>
    </row>
    <row r="37" spans="2:42" ht="38.1" customHeight="1" x14ac:dyDescent="0.3">
      <c r="B37" s="218"/>
      <c r="C37" s="177"/>
      <c r="D37" s="105" t="s">
        <v>631</v>
      </c>
      <c r="E37" s="196"/>
      <c r="F37" s="106" t="s">
        <v>411</v>
      </c>
      <c r="G37" s="107" t="s">
        <v>403</v>
      </c>
      <c r="H37" s="107" t="s">
        <v>146</v>
      </c>
      <c r="I37" s="107" t="s">
        <v>141</v>
      </c>
      <c r="J37" s="108" t="s">
        <v>619</v>
      </c>
      <c r="K37" s="108" t="s">
        <v>619</v>
      </c>
      <c r="L37" s="108" t="s">
        <v>619</v>
      </c>
      <c r="M37" s="108" t="s">
        <v>619</v>
      </c>
      <c r="N37" s="109" t="s">
        <v>415</v>
      </c>
      <c r="O37" s="133" t="s">
        <v>216</v>
      </c>
      <c r="P37" s="107"/>
      <c r="Q37" s="110" t="s">
        <v>200</v>
      </c>
      <c r="R37" s="110" t="s">
        <v>200</v>
      </c>
      <c r="S37" s="110" t="s">
        <v>200</v>
      </c>
      <c r="T37" s="111">
        <f t="shared" si="4"/>
        <v>20</v>
      </c>
      <c r="U37" s="112"/>
      <c r="V37" s="112"/>
      <c r="W37" s="112" t="s">
        <v>200</v>
      </c>
      <c r="X37" s="113">
        <f t="shared" si="2"/>
        <v>20</v>
      </c>
      <c r="Y37" s="112" t="s">
        <v>200</v>
      </c>
      <c r="Z37" s="112"/>
      <c r="AA37" s="114"/>
      <c r="AB37" s="113">
        <f t="shared" si="0"/>
        <v>60</v>
      </c>
      <c r="AC37" s="115">
        <f>IF(AB37=FALSE,-1,T37+X37+AB37)</f>
        <v>100</v>
      </c>
      <c r="AD37" s="197"/>
      <c r="AE37" s="198"/>
      <c r="AF37" s="59"/>
    </row>
    <row r="38" spans="2:42" ht="38.1" customHeight="1" x14ac:dyDescent="0.3">
      <c r="B38" s="216">
        <v>12</v>
      </c>
      <c r="C38" s="177" t="str">
        <f>VLOOKUP(B38,codr,6,0)</f>
        <v xml:space="preserve">Posibilidad de que un ganador del premio de la lotería venda o realice algun tipo de negociación con un tercero, para transferir la propiedad del billete de lotería con la finalidad de realizar una operación de LA/FT/FPADM. </v>
      </c>
      <c r="D38" s="105" t="s">
        <v>582</v>
      </c>
      <c r="E38" s="196" t="s">
        <v>408</v>
      </c>
      <c r="F38" s="106" t="s">
        <v>416</v>
      </c>
      <c r="G38" s="107" t="s">
        <v>402</v>
      </c>
      <c r="H38" s="107" t="s">
        <v>145</v>
      </c>
      <c r="I38" s="107" t="s">
        <v>141</v>
      </c>
      <c r="J38" s="108" t="s">
        <v>616</v>
      </c>
      <c r="K38" s="108" t="s">
        <v>616</v>
      </c>
      <c r="L38" s="108" t="s">
        <v>616</v>
      </c>
      <c r="M38" s="108" t="s">
        <v>616</v>
      </c>
      <c r="N38" s="109" t="s">
        <v>624</v>
      </c>
      <c r="O38" s="133" t="s">
        <v>216</v>
      </c>
      <c r="P38" s="107"/>
      <c r="Q38" s="110" t="s">
        <v>200</v>
      </c>
      <c r="R38" s="110" t="s">
        <v>200</v>
      </c>
      <c r="S38" s="110"/>
      <c r="T38" s="111">
        <f t="shared" si="4"/>
        <v>10</v>
      </c>
      <c r="U38" s="112"/>
      <c r="V38" s="112"/>
      <c r="W38" s="112" t="s">
        <v>200</v>
      </c>
      <c r="X38" s="113">
        <f t="shared" si="2"/>
        <v>20</v>
      </c>
      <c r="Y38" s="112" t="s">
        <v>200</v>
      </c>
      <c r="Z38" s="112"/>
      <c r="AA38" s="114"/>
      <c r="AB38" s="113">
        <f t="shared" si="0"/>
        <v>60</v>
      </c>
      <c r="AC38" s="115">
        <f t="shared" ref="AC38:AC44" si="22">IF(AB38=FALSE,-1,T38+X38+AB38)</f>
        <v>90</v>
      </c>
      <c r="AD38" s="197">
        <f t="shared" ref="AD38" si="23">ROUND(IF(AND(AC40=-1,AC39=-1),AC38,IF(AC40=-1,AVERAGE(AC38:AC39),IF(AND(AC40&gt;=0,AC39&gt;=0,AC38&gt;=0),AVERAGE(AC38:AC40)))),0)</f>
        <v>67</v>
      </c>
      <c r="AE38" s="198" t="str">
        <f t="shared" ref="AE38" si="24">IF(AND(AD38&lt;20,AD38&gt;=0),"CRITICA",IF(AND(AD38&lt;61,AD38&gt;=20),"BAJA",IF(AND(AD38&lt;91,AD38&gt;=61),"BUENA",IF(AND(AD38&lt;=100,AD38&gt;=91),"EXCELENTE",0))))</f>
        <v>BUENA</v>
      </c>
      <c r="AF38" s="59"/>
    </row>
    <row r="39" spans="2:42" ht="38.1" customHeight="1" x14ac:dyDescent="0.3">
      <c r="B39" s="217"/>
      <c r="C39" s="177"/>
      <c r="D39" s="105" t="s">
        <v>621</v>
      </c>
      <c r="E39" s="196"/>
      <c r="F39" s="106" t="s">
        <v>416</v>
      </c>
      <c r="G39" s="107" t="s">
        <v>403</v>
      </c>
      <c r="H39" s="107" t="s">
        <v>412</v>
      </c>
      <c r="I39" s="107" t="s">
        <v>139</v>
      </c>
      <c r="J39" s="108" t="s">
        <v>622</v>
      </c>
      <c r="K39" s="108" t="s">
        <v>622</v>
      </c>
      <c r="L39" s="108" t="s">
        <v>622</v>
      </c>
      <c r="M39" s="108" t="s">
        <v>622</v>
      </c>
      <c r="N39" s="109" t="s">
        <v>610</v>
      </c>
      <c r="O39" s="133" t="s">
        <v>216</v>
      </c>
      <c r="P39" s="107"/>
      <c r="Q39" s="110" t="s">
        <v>200</v>
      </c>
      <c r="R39" s="110" t="s">
        <v>200</v>
      </c>
      <c r="S39" s="110" t="s">
        <v>200</v>
      </c>
      <c r="T39" s="111">
        <f t="shared" si="4"/>
        <v>20</v>
      </c>
      <c r="U39" s="112"/>
      <c r="V39" s="112"/>
      <c r="W39" s="112" t="s">
        <v>200</v>
      </c>
      <c r="X39" s="113">
        <f t="shared" si="2"/>
        <v>20</v>
      </c>
      <c r="Y39" s="112" t="s">
        <v>200</v>
      </c>
      <c r="Z39" s="112"/>
      <c r="AA39" s="114"/>
      <c r="AB39" s="113">
        <f t="shared" si="0"/>
        <v>60</v>
      </c>
      <c r="AC39" s="115">
        <f t="shared" si="22"/>
        <v>100</v>
      </c>
      <c r="AD39" s="197"/>
      <c r="AE39" s="198"/>
      <c r="AF39" s="59"/>
    </row>
    <row r="40" spans="2:42" ht="66" customHeight="1" x14ac:dyDescent="0.3">
      <c r="B40" s="218"/>
      <c r="C40" s="177"/>
      <c r="D40" s="105" t="s">
        <v>623</v>
      </c>
      <c r="E40" s="196"/>
      <c r="F40" s="106" t="s">
        <v>410</v>
      </c>
      <c r="G40" s="107" t="s">
        <v>403</v>
      </c>
      <c r="H40" s="107" t="s">
        <v>412</v>
      </c>
      <c r="I40" s="107" t="s">
        <v>143</v>
      </c>
      <c r="J40" s="108" t="s">
        <v>622</v>
      </c>
      <c r="K40" s="108" t="s">
        <v>622</v>
      </c>
      <c r="L40" s="108" t="s">
        <v>594</v>
      </c>
      <c r="M40" s="108" t="s">
        <v>622</v>
      </c>
      <c r="N40" s="109" t="s">
        <v>415</v>
      </c>
      <c r="O40" s="133" t="s">
        <v>215</v>
      </c>
      <c r="P40" s="107" t="s">
        <v>200</v>
      </c>
      <c r="Q40" s="110"/>
      <c r="R40" s="110"/>
      <c r="S40" s="110"/>
      <c r="T40" s="111">
        <f t="shared" si="4"/>
        <v>0</v>
      </c>
      <c r="U40" s="112"/>
      <c r="V40" s="112" t="s">
        <v>200</v>
      </c>
      <c r="W40" s="112"/>
      <c r="X40" s="113">
        <f t="shared" si="2"/>
        <v>10</v>
      </c>
      <c r="Y40" s="112"/>
      <c r="Z40" s="112" t="s">
        <v>200</v>
      </c>
      <c r="AA40" s="114"/>
      <c r="AB40" s="113">
        <f t="shared" si="0"/>
        <v>0</v>
      </c>
      <c r="AC40" s="115">
        <f t="shared" si="22"/>
        <v>10</v>
      </c>
      <c r="AD40" s="197"/>
      <c r="AE40" s="198"/>
      <c r="AF40" s="59"/>
    </row>
    <row r="41" spans="2:42" ht="50.1" customHeight="1" x14ac:dyDescent="0.3">
      <c r="B41" s="162">
        <v>13</v>
      </c>
      <c r="C41" s="160" t="str">
        <f>VLOOKUP(B41,codr,6,0)</f>
        <v>Posibilidad de tener vínculo contractual con contrapartes que aparezcan en listas vinculantes y de control LA/FT/FPADM en la revisión periódica-masiva de éstas.</v>
      </c>
      <c r="D41" s="105" t="s">
        <v>625</v>
      </c>
      <c r="E41" s="161" t="s">
        <v>408</v>
      </c>
      <c r="F41" s="106" t="s">
        <v>416</v>
      </c>
      <c r="G41" s="107" t="s">
        <v>403</v>
      </c>
      <c r="H41" s="107" t="s">
        <v>146</v>
      </c>
      <c r="I41" s="107" t="s">
        <v>141</v>
      </c>
      <c r="J41" s="108" t="s">
        <v>594</v>
      </c>
      <c r="K41" s="108" t="s">
        <v>594</v>
      </c>
      <c r="L41" s="108" t="s">
        <v>594</v>
      </c>
      <c r="M41" s="108" t="s">
        <v>594</v>
      </c>
      <c r="N41" s="109" t="s">
        <v>415</v>
      </c>
      <c r="O41" s="133" t="s">
        <v>216</v>
      </c>
      <c r="P41" s="107"/>
      <c r="Q41" s="110" t="s">
        <v>200</v>
      </c>
      <c r="R41" s="110" t="s">
        <v>200</v>
      </c>
      <c r="S41" s="110"/>
      <c r="T41" s="111">
        <f t="shared" si="4"/>
        <v>10</v>
      </c>
      <c r="U41" s="112"/>
      <c r="V41" s="112"/>
      <c r="W41" s="112" t="s">
        <v>200</v>
      </c>
      <c r="X41" s="113">
        <f t="shared" si="2"/>
        <v>20</v>
      </c>
      <c r="Y41" s="112" t="s">
        <v>200</v>
      </c>
      <c r="Z41" s="112"/>
      <c r="AA41" s="114"/>
      <c r="AB41" s="113">
        <f t="shared" si="0"/>
        <v>60</v>
      </c>
      <c r="AC41" s="115">
        <f t="shared" si="22"/>
        <v>90</v>
      </c>
      <c r="AD41" s="115">
        <f>ROUND(AC41,0)</f>
        <v>90</v>
      </c>
      <c r="AE41" s="114" t="str">
        <f t="shared" ref="AE41" si="25">IF(AND(AD41&lt;20,AD41&gt;=0),"CRITICA",IF(AND(AD41&lt;61,AD41&gt;=20),"BAJA",IF(AND(AD41&lt;91,AD41&gt;=61),"BUENA",IF(AND(AD41&lt;=100,AD41&gt;=91),"EXCELENTE",0))))</f>
        <v>BUENA</v>
      </c>
      <c r="AF41" s="59"/>
    </row>
    <row r="42" spans="2:42" ht="70.5" customHeight="1" x14ac:dyDescent="0.3">
      <c r="B42" s="216">
        <v>14</v>
      </c>
      <c r="C42" s="177" t="str">
        <f>VLOOKUP(B42,codr,6,0)</f>
        <v>Posibilidad de que los distribuidores y gestores de la Lotería de Bogotá realicen el pago y/o entrega de un premio en dinero o en especie, sin aplicar los protocolos de consulta en las listas vinculantes y de control.</v>
      </c>
      <c r="D42" s="105" t="s">
        <v>583</v>
      </c>
      <c r="E42" s="196" t="s">
        <v>408</v>
      </c>
      <c r="F42" s="106" t="s">
        <v>416</v>
      </c>
      <c r="G42" s="107" t="s">
        <v>402</v>
      </c>
      <c r="H42" s="107" t="s">
        <v>146</v>
      </c>
      <c r="I42" s="107" t="s">
        <v>139</v>
      </c>
      <c r="J42" s="108" t="s">
        <v>594</v>
      </c>
      <c r="K42" s="108" t="s">
        <v>594</v>
      </c>
      <c r="L42" s="108" t="s">
        <v>594</v>
      </c>
      <c r="M42" s="108" t="s">
        <v>594</v>
      </c>
      <c r="N42" s="109" t="s">
        <v>610</v>
      </c>
      <c r="O42" s="133" t="s">
        <v>215</v>
      </c>
      <c r="P42" s="107"/>
      <c r="Q42" s="110" t="s">
        <v>200</v>
      </c>
      <c r="R42" s="110"/>
      <c r="S42" s="110"/>
      <c r="T42" s="111">
        <f t="shared" si="4"/>
        <v>3</v>
      </c>
      <c r="U42" s="112" t="s">
        <v>200</v>
      </c>
      <c r="V42" s="112"/>
      <c r="W42" s="112"/>
      <c r="X42" s="113">
        <f t="shared" si="2"/>
        <v>0</v>
      </c>
      <c r="Y42" s="112"/>
      <c r="Z42" s="112" t="s">
        <v>200</v>
      </c>
      <c r="AA42" s="114"/>
      <c r="AB42" s="113">
        <f t="shared" si="0"/>
        <v>0</v>
      </c>
      <c r="AC42" s="115">
        <f t="shared" si="22"/>
        <v>3</v>
      </c>
      <c r="AD42" s="197">
        <f>ROUND(IF(AND(AC44=-1,AC43=-1),AC42,IF(AC44=-1,AVERAGE(AC42:AC43),IF(AND(AC44&gt;=0,AC43&gt;=0,AC42&gt;=0),AVERAGE(AC42:AC44)))),0)</f>
        <v>49</v>
      </c>
      <c r="AE42" s="198" t="str">
        <f t="shared" ref="AE42" si="26">IF(AND(AD42&lt;20,AD42&gt;=0),"CRITICA",IF(AND(AD42&lt;61,AD42&gt;=20),"BAJA",IF(AND(AD42&lt;91,AD42&gt;=61),"BUENA",IF(AND(AD42&lt;=100,AD42&gt;=91),"EXCELENTE",0))))</f>
        <v>BAJA</v>
      </c>
      <c r="AF42" s="59"/>
    </row>
    <row r="43" spans="2:42" ht="38.1" customHeight="1" x14ac:dyDescent="0.3">
      <c r="B43" s="217"/>
      <c r="C43" s="177"/>
      <c r="D43" s="105" t="s">
        <v>584</v>
      </c>
      <c r="E43" s="196"/>
      <c r="F43" s="106" t="s">
        <v>414</v>
      </c>
      <c r="G43" s="107" t="s">
        <v>402</v>
      </c>
      <c r="H43" s="107" t="s">
        <v>164</v>
      </c>
      <c r="I43" s="107" t="s">
        <v>139</v>
      </c>
      <c r="J43" s="108" t="s">
        <v>620</v>
      </c>
      <c r="K43" s="108" t="s">
        <v>620</v>
      </c>
      <c r="L43" s="108" t="s">
        <v>620</v>
      </c>
      <c r="M43" s="108" t="s">
        <v>620</v>
      </c>
      <c r="N43" s="109" t="s">
        <v>413</v>
      </c>
      <c r="O43" s="133" t="s">
        <v>215</v>
      </c>
      <c r="P43" s="107"/>
      <c r="Q43" s="110" t="s">
        <v>200</v>
      </c>
      <c r="R43" s="110"/>
      <c r="S43" s="110"/>
      <c r="T43" s="111">
        <f t="shared" si="4"/>
        <v>3</v>
      </c>
      <c r="U43" s="112"/>
      <c r="V43" s="112"/>
      <c r="W43" s="112" t="s">
        <v>200</v>
      </c>
      <c r="X43" s="113">
        <f t="shared" si="2"/>
        <v>20</v>
      </c>
      <c r="Y43" s="112" t="s">
        <v>200</v>
      </c>
      <c r="Z43" s="112"/>
      <c r="AA43" s="114"/>
      <c r="AB43" s="113">
        <f t="shared" si="0"/>
        <v>60</v>
      </c>
      <c r="AC43" s="115">
        <f t="shared" si="22"/>
        <v>83</v>
      </c>
      <c r="AD43" s="197"/>
      <c r="AE43" s="198"/>
      <c r="AF43" s="59"/>
    </row>
    <row r="44" spans="2:42" ht="38.1" customHeight="1" x14ac:dyDescent="0.3">
      <c r="B44" s="218"/>
      <c r="C44" s="177"/>
      <c r="D44" s="105" t="s">
        <v>585</v>
      </c>
      <c r="E44" s="196"/>
      <c r="F44" s="106" t="s">
        <v>416</v>
      </c>
      <c r="G44" s="107" t="s">
        <v>403</v>
      </c>
      <c r="H44" s="107" t="s">
        <v>164</v>
      </c>
      <c r="I44" s="107" t="s">
        <v>141</v>
      </c>
      <c r="J44" s="108" t="s">
        <v>594</v>
      </c>
      <c r="K44" s="108" t="s">
        <v>594</v>
      </c>
      <c r="L44" s="108" t="s">
        <v>594</v>
      </c>
      <c r="M44" s="108" t="s">
        <v>594</v>
      </c>
      <c r="N44" s="109" t="s">
        <v>415</v>
      </c>
      <c r="O44" s="133" t="s">
        <v>215</v>
      </c>
      <c r="P44" s="107" t="s">
        <v>200</v>
      </c>
      <c r="Q44" s="110"/>
      <c r="R44" s="110"/>
      <c r="S44" s="110"/>
      <c r="T44" s="111">
        <f t="shared" si="4"/>
        <v>0</v>
      </c>
      <c r="U44" s="112" t="s">
        <v>200</v>
      </c>
      <c r="V44" s="112"/>
      <c r="W44" s="112"/>
      <c r="X44" s="113">
        <f t="shared" si="2"/>
        <v>0</v>
      </c>
      <c r="Y44" s="112" t="s">
        <v>200</v>
      </c>
      <c r="Z44" s="112"/>
      <c r="AA44" s="114"/>
      <c r="AB44" s="113">
        <f t="shared" si="0"/>
        <v>60</v>
      </c>
      <c r="AC44" s="115">
        <f t="shared" si="22"/>
        <v>60</v>
      </c>
      <c r="AD44" s="197"/>
      <c r="AE44" s="198"/>
      <c r="AF44" s="59"/>
    </row>
    <row r="45" spans="2:42" ht="70.5" customHeight="1" x14ac:dyDescent="0.3">
      <c r="B45" s="216">
        <v>15</v>
      </c>
      <c r="C45" s="177" t="str">
        <f>VLOOKUP(B45,codr,6,0)</f>
        <v>Posibilidad de que los ganadores de premios de la Lotería de Bogotá realicen cobros del premio de manera fraccionada.</v>
      </c>
      <c r="D45" s="105" t="s">
        <v>633</v>
      </c>
      <c r="E45" s="196" t="s">
        <v>408</v>
      </c>
      <c r="F45" s="106" t="s">
        <v>416</v>
      </c>
      <c r="G45" s="107" t="s">
        <v>403</v>
      </c>
      <c r="H45" s="107" t="s">
        <v>164</v>
      </c>
      <c r="I45" s="107" t="s">
        <v>139</v>
      </c>
      <c r="J45" s="108" t="s">
        <v>622</v>
      </c>
      <c r="K45" s="108" t="s">
        <v>622</v>
      </c>
      <c r="L45" s="108" t="s">
        <v>622</v>
      </c>
      <c r="M45" s="108" t="s">
        <v>622</v>
      </c>
      <c r="N45" s="109" t="s">
        <v>413</v>
      </c>
      <c r="O45" s="133" t="s">
        <v>215</v>
      </c>
      <c r="P45" s="107"/>
      <c r="Q45" s="110" t="s">
        <v>200</v>
      </c>
      <c r="R45" s="110"/>
      <c r="S45" s="110"/>
      <c r="T45" s="111">
        <f t="shared" ref="T45:T46" si="27">IF(OR(P45="X",AND(Q45="",OR(R45="X",S45="X")),AND(R45="",S45="X")),$P$8,IF(Q45="X",$Q$8+(IF(R45="X",$R$8+(IF(S45="X",$S$8))))))</f>
        <v>3</v>
      </c>
      <c r="U45" s="112" t="s">
        <v>200</v>
      </c>
      <c r="V45" s="112"/>
      <c r="W45" s="112"/>
      <c r="X45" s="113">
        <f t="shared" ref="X45:X46" si="28">IF(COUNTA(U45:W45)&gt;1,$U$8,IF(U45="X",$U$8)+IF(V45="X",$V$8)+IF(W45="X",$W$8))</f>
        <v>0</v>
      </c>
      <c r="Y45" s="112"/>
      <c r="Z45" s="112" t="s">
        <v>200</v>
      </c>
      <c r="AA45" s="114"/>
      <c r="AB45" s="113">
        <f t="shared" ref="AB45:AB46" si="29">IF(COUNTA(Y45,Z45)&gt;1,$Z$8,IF(Y45="X",$Y$8,IF(Z45="X",$Z$8)))</f>
        <v>0</v>
      </c>
      <c r="AC45" s="115">
        <f t="shared" ref="AC45:AC46" si="30">IF(AB45=FALSE,-1,T45+X45+AB45)</f>
        <v>3</v>
      </c>
      <c r="AD45" s="197">
        <f>ROUND(IF(AC46=-1,AC45,IF(AND(AC46&gt;=0,AC45&gt;=0),AVERAGE(AC45:AC46))),0)</f>
        <v>43</v>
      </c>
      <c r="AE45" s="198" t="str">
        <f t="shared" ref="AE45" si="31">IF(AND(AD45&lt;20,AD45&gt;=0),"CRITICA",IF(AND(AD45&lt;61,AD45&gt;=20),"BAJA",IF(AND(AD45&lt;91,AD45&gt;=61),"BUENA",IF(AND(AD45&lt;=100,AD45&gt;=91),"EXCELENTE",0))))</f>
        <v>BAJA</v>
      </c>
      <c r="AF45" s="59"/>
    </row>
    <row r="46" spans="2:42" ht="38.1" customHeight="1" x14ac:dyDescent="0.3">
      <c r="B46" s="217"/>
      <c r="C46" s="177"/>
      <c r="D46" s="105" t="s">
        <v>634</v>
      </c>
      <c r="E46" s="196"/>
      <c r="F46" s="106" t="s">
        <v>414</v>
      </c>
      <c r="G46" s="107" t="s">
        <v>403</v>
      </c>
      <c r="H46" s="107" t="s">
        <v>164</v>
      </c>
      <c r="I46" s="107" t="s">
        <v>139</v>
      </c>
      <c r="J46" s="108" t="s">
        <v>622</v>
      </c>
      <c r="K46" s="108" t="s">
        <v>622</v>
      </c>
      <c r="L46" s="108" t="s">
        <v>622</v>
      </c>
      <c r="M46" s="108" t="s">
        <v>622</v>
      </c>
      <c r="N46" s="109" t="s">
        <v>413</v>
      </c>
      <c r="O46" s="133" t="s">
        <v>215</v>
      </c>
      <c r="P46" s="107"/>
      <c r="Q46" s="110" t="s">
        <v>200</v>
      </c>
      <c r="R46" s="110"/>
      <c r="S46" s="110"/>
      <c r="T46" s="111">
        <f t="shared" si="27"/>
        <v>3</v>
      </c>
      <c r="U46" s="112"/>
      <c r="V46" s="112"/>
      <c r="W46" s="112" t="s">
        <v>200</v>
      </c>
      <c r="X46" s="113">
        <f t="shared" si="28"/>
        <v>20</v>
      </c>
      <c r="Y46" s="112" t="s">
        <v>200</v>
      </c>
      <c r="Z46" s="112"/>
      <c r="AA46" s="114"/>
      <c r="AB46" s="113">
        <f t="shared" si="29"/>
        <v>60</v>
      </c>
      <c r="AC46" s="115">
        <f t="shared" si="30"/>
        <v>83</v>
      </c>
      <c r="AD46" s="197"/>
      <c r="AE46" s="198"/>
      <c r="AF46" s="59"/>
    </row>
    <row r="47" spans="2:42" ht="38.1" customHeight="1" x14ac:dyDescent="0.3">
      <c r="P47" s="27"/>
      <c r="Q47" s="27"/>
      <c r="R47" s="27"/>
      <c r="S47" s="27"/>
      <c r="U47" s="27"/>
      <c r="V47" s="27"/>
      <c r="W47" s="27"/>
      <c r="AG47" s="26"/>
      <c r="AH47" s="26"/>
      <c r="AI47" s="26"/>
      <c r="AJ47" s="26"/>
      <c r="AK47" s="26"/>
      <c r="AL47" s="26"/>
      <c r="AM47" s="26"/>
      <c r="AN47" s="26"/>
      <c r="AO47" s="26"/>
      <c r="AP47" s="26"/>
    </row>
    <row r="48" spans="2:42" ht="38.1" customHeight="1" x14ac:dyDescent="0.3">
      <c r="P48" s="27"/>
      <c r="Q48" s="27"/>
      <c r="R48" s="27"/>
      <c r="S48" s="27"/>
      <c r="U48" s="27"/>
      <c r="V48" s="27"/>
      <c r="W48" s="27"/>
      <c r="AC48" s="164"/>
      <c r="AG48" s="26"/>
      <c r="AH48" s="26"/>
      <c r="AI48" s="26"/>
      <c r="AJ48" s="26"/>
      <c r="AK48" s="26"/>
      <c r="AL48" s="26"/>
      <c r="AM48" s="26"/>
      <c r="AN48" s="26"/>
      <c r="AO48" s="26"/>
      <c r="AP48" s="26"/>
    </row>
    <row r="49" spans="16:42" ht="38.1" customHeight="1" x14ac:dyDescent="0.3">
      <c r="P49" s="27"/>
      <c r="Q49" s="27"/>
      <c r="R49" s="27"/>
      <c r="S49" s="27"/>
      <c r="U49" s="27"/>
      <c r="V49" s="27"/>
      <c r="W49" s="27"/>
      <c r="AG49" s="26"/>
      <c r="AH49" s="26"/>
      <c r="AI49" s="26"/>
      <c r="AJ49" s="26"/>
      <c r="AK49" s="26"/>
      <c r="AL49" s="26"/>
      <c r="AM49" s="26"/>
      <c r="AN49" s="26"/>
      <c r="AO49" s="26"/>
      <c r="AP49" s="26"/>
    </row>
    <row r="50" spans="16:42" ht="38.1" customHeight="1" x14ac:dyDescent="0.3">
      <c r="P50" s="27"/>
      <c r="Q50" s="27"/>
      <c r="R50" s="27"/>
      <c r="S50" s="27"/>
      <c r="U50" s="27"/>
      <c r="V50" s="27"/>
      <c r="W50" s="27"/>
      <c r="AG50" s="26"/>
      <c r="AH50" s="26"/>
      <c r="AI50" s="26"/>
      <c r="AJ50" s="26"/>
      <c r="AK50" s="26"/>
      <c r="AL50" s="26"/>
      <c r="AM50" s="26"/>
      <c r="AN50" s="26"/>
      <c r="AO50" s="26"/>
      <c r="AP50" s="26"/>
    </row>
    <row r="51" spans="16:42" ht="38.1" customHeight="1" x14ac:dyDescent="0.3">
      <c r="P51" s="27"/>
      <c r="Q51" s="27"/>
      <c r="R51" s="27"/>
      <c r="S51" s="27"/>
      <c r="U51" s="27"/>
      <c r="V51" s="27"/>
      <c r="W51" s="27"/>
      <c r="AG51" s="26"/>
      <c r="AH51" s="26"/>
      <c r="AI51" s="26"/>
      <c r="AJ51" s="26"/>
      <c r="AK51" s="26"/>
      <c r="AL51" s="26"/>
      <c r="AM51" s="26"/>
      <c r="AN51" s="26"/>
      <c r="AO51" s="26"/>
      <c r="AP51" s="26"/>
    </row>
    <row r="52" spans="16:42" ht="38.1" customHeight="1" x14ac:dyDescent="0.3">
      <c r="P52" s="27"/>
      <c r="Q52" s="27"/>
      <c r="R52" s="27"/>
      <c r="S52" s="27"/>
      <c r="U52" s="27"/>
      <c r="V52" s="27"/>
      <c r="W52" s="27"/>
      <c r="AG52" s="26"/>
      <c r="AH52" s="26"/>
      <c r="AI52" s="26"/>
      <c r="AJ52" s="26"/>
      <c r="AK52" s="26"/>
      <c r="AL52" s="26"/>
      <c r="AM52" s="26"/>
      <c r="AN52" s="26"/>
      <c r="AO52" s="26"/>
      <c r="AP52" s="26"/>
    </row>
    <row r="53" spans="16:42" ht="38.1" customHeight="1" x14ac:dyDescent="0.3">
      <c r="P53" s="27"/>
      <c r="Q53" s="27"/>
      <c r="R53" s="27"/>
      <c r="S53" s="27"/>
      <c r="U53" s="27"/>
      <c r="V53" s="27"/>
      <c r="W53" s="27"/>
      <c r="AG53" s="26"/>
      <c r="AH53" s="26"/>
      <c r="AI53" s="26"/>
      <c r="AJ53" s="26"/>
      <c r="AK53" s="26"/>
      <c r="AL53" s="26"/>
      <c r="AM53" s="26"/>
      <c r="AN53" s="26"/>
      <c r="AO53" s="26"/>
      <c r="AP53" s="26"/>
    </row>
    <row r="54" spans="16:42" ht="38.1" customHeight="1" x14ac:dyDescent="0.3">
      <c r="P54" s="27"/>
      <c r="Q54" s="27"/>
      <c r="R54" s="27"/>
      <c r="S54" s="27"/>
      <c r="U54" s="27"/>
      <c r="V54" s="27"/>
      <c r="W54" s="27"/>
      <c r="AG54" s="26"/>
      <c r="AH54" s="26"/>
      <c r="AI54" s="26"/>
      <c r="AJ54" s="26"/>
      <c r="AK54" s="26"/>
      <c r="AL54" s="26"/>
      <c r="AM54" s="26"/>
      <c r="AN54" s="26"/>
      <c r="AO54" s="26"/>
      <c r="AP54" s="26"/>
    </row>
    <row r="55" spans="16:42" ht="38.1" customHeight="1" x14ac:dyDescent="0.3">
      <c r="P55" s="27"/>
      <c r="Q55" s="27"/>
      <c r="R55" s="27"/>
      <c r="S55" s="27"/>
      <c r="U55" s="27"/>
      <c r="V55" s="27"/>
      <c r="W55" s="27"/>
      <c r="AG55" s="26"/>
      <c r="AH55" s="26"/>
      <c r="AI55" s="26"/>
      <c r="AJ55" s="26"/>
      <c r="AK55" s="26"/>
      <c r="AL55" s="26"/>
      <c r="AM55" s="26"/>
      <c r="AN55" s="26"/>
      <c r="AO55" s="26"/>
      <c r="AP55" s="26"/>
    </row>
    <row r="56" spans="16:42" ht="38.1" customHeight="1" x14ac:dyDescent="0.3">
      <c r="P56" s="27"/>
      <c r="Q56" s="27"/>
      <c r="R56" s="27"/>
      <c r="S56" s="27"/>
      <c r="U56" s="27"/>
      <c r="V56" s="27"/>
      <c r="W56" s="27"/>
      <c r="AG56" s="26"/>
      <c r="AH56" s="26"/>
      <c r="AI56" s="26"/>
      <c r="AJ56" s="26"/>
      <c r="AK56" s="26"/>
      <c r="AL56" s="26"/>
      <c r="AM56" s="26"/>
      <c r="AN56" s="26"/>
      <c r="AO56" s="26"/>
      <c r="AP56" s="26"/>
    </row>
    <row r="57" spans="16:42" ht="38.1" customHeight="1" x14ac:dyDescent="0.3">
      <c r="P57" s="27"/>
      <c r="Q57" s="27"/>
      <c r="R57" s="27"/>
      <c r="S57" s="27"/>
      <c r="U57" s="27"/>
      <c r="V57" s="27"/>
      <c r="W57" s="27"/>
      <c r="AG57" s="26"/>
      <c r="AH57" s="26"/>
      <c r="AI57" s="26"/>
      <c r="AJ57" s="26"/>
      <c r="AK57" s="26"/>
      <c r="AL57" s="26"/>
      <c r="AM57" s="26"/>
      <c r="AN57" s="26"/>
      <c r="AO57" s="26"/>
      <c r="AP57" s="26"/>
    </row>
    <row r="58" spans="16:42" ht="38.1" customHeight="1" x14ac:dyDescent="0.3">
      <c r="P58" s="27"/>
      <c r="Q58" s="27"/>
      <c r="R58" s="27"/>
      <c r="S58" s="27"/>
      <c r="U58" s="27"/>
      <c r="V58" s="27"/>
      <c r="W58" s="27"/>
      <c r="AG58" s="26"/>
      <c r="AH58" s="26"/>
      <c r="AI58" s="26"/>
      <c r="AJ58" s="26"/>
      <c r="AK58" s="26"/>
      <c r="AL58" s="26"/>
      <c r="AM58" s="26"/>
      <c r="AN58" s="26"/>
      <c r="AO58" s="26"/>
      <c r="AP58" s="26"/>
    </row>
    <row r="59" spans="16:42" ht="38.1" customHeight="1" x14ac:dyDescent="0.3">
      <c r="P59" s="27"/>
      <c r="Q59" s="27"/>
      <c r="R59" s="27"/>
      <c r="S59" s="27"/>
      <c r="U59" s="27"/>
      <c r="V59" s="27"/>
      <c r="W59" s="27"/>
      <c r="AG59" s="26"/>
      <c r="AH59" s="26"/>
      <c r="AI59" s="26"/>
      <c r="AJ59" s="26"/>
      <c r="AK59" s="26"/>
      <c r="AL59" s="26"/>
      <c r="AM59" s="26"/>
      <c r="AN59" s="26"/>
      <c r="AO59" s="26"/>
      <c r="AP59" s="26"/>
    </row>
    <row r="60" spans="16:42" ht="38.1" customHeight="1" x14ac:dyDescent="0.3">
      <c r="P60" s="27"/>
      <c r="Q60" s="27"/>
      <c r="R60" s="27"/>
      <c r="S60" s="27"/>
      <c r="U60" s="27"/>
      <c r="V60" s="27"/>
      <c r="W60" s="27"/>
      <c r="AG60" s="26"/>
      <c r="AH60" s="26"/>
      <c r="AI60" s="26"/>
      <c r="AJ60" s="26"/>
      <c r="AK60" s="26"/>
      <c r="AL60" s="26"/>
      <c r="AM60" s="26"/>
      <c r="AN60" s="26"/>
      <c r="AO60" s="26"/>
      <c r="AP60" s="26"/>
    </row>
    <row r="61" spans="16:42" ht="38.1" customHeight="1" x14ac:dyDescent="0.3">
      <c r="P61" s="27"/>
      <c r="Q61" s="27"/>
      <c r="R61" s="27"/>
      <c r="S61" s="27"/>
      <c r="U61" s="27"/>
      <c r="V61" s="27"/>
      <c r="W61" s="27"/>
      <c r="AG61" s="26"/>
      <c r="AH61" s="26"/>
      <c r="AI61" s="26"/>
      <c r="AJ61" s="26"/>
      <c r="AK61" s="26"/>
      <c r="AL61" s="26"/>
      <c r="AM61" s="26"/>
      <c r="AN61" s="26"/>
      <c r="AO61" s="26"/>
      <c r="AP61" s="26"/>
    </row>
    <row r="62" spans="16:42" ht="38.1" customHeight="1" x14ac:dyDescent="0.3">
      <c r="P62" s="27"/>
      <c r="Q62" s="27"/>
      <c r="R62" s="27"/>
      <c r="S62" s="27"/>
      <c r="U62" s="27"/>
      <c r="V62" s="27"/>
      <c r="W62" s="27"/>
      <c r="AG62" s="26"/>
      <c r="AH62" s="26"/>
      <c r="AI62" s="26"/>
      <c r="AJ62" s="26"/>
      <c r="AK62" s="26"/>
      <c r="AL62" s="26"/>
      <c r="AM62" s="26"/>
      <c r="AN62" s="26"/>
      <c r="AO62" s="26"/>
      <c r="AP62" s="26"/>
    </row>
    <row r="63" spans="16:42" ht="38.1" customHeight="1" x14ac:dyDescent="0.3">
      <c r="P63" s="27"/>
      <c r="Q63" s="27"/>
      <c r="R63" s="27"/>
      <c r="S63" s="27"/>
      <c r="U63" s="27"/>
      <c r="V63" s="27"/>
      <c r="W63" s="27"/>
      <c r="AG63" s="26"/>
      <c r="AH63" s="26"/>
      <c r="AI63" s="26"/>
      <c r="AJ63" s="26"/>
      <c r="AK63" s="26"/>
      <c r="AL63" s="26"/>
      <c r="AM63" s="26"/>
      <c r="AN63" s="26"/>
      <c r="AO63" s="26"/>
      <c r="AP63" s="26"/>
    </row>
    <row r="64" spans="16:42" ht="38.1" customHeight="1" x14ac:dyDescent="0.3">
      <c r="P64" s="27"/>
      <c r="Q64" s="27"/>
      <c r="R64" s="27"/>
      <c r="S64" s="27"/>
      <c r="U64" s="27"/>
      <c r="V64" s="27"/>
      <c r="W64" s="27"/>
      <c r="AG64" s="26"/>
      <c r="AH64" s="26"/>
      <c r="AI64" s="26"/>
      <c r="AJ64" s="26"/>
      <c r="AK64" s="26"/>
      <c r="AL64" s="26"/>
      <c r="AM64" s="26"/>
      <c r="AN64" s="26"/>
      <c r="AO64" s="26"/>
      <c r="AP64" s="26"/>
    </row>
    <row r="65" spans="16:42" ht="38.1" customHeight="1" x14ac:dyDescent="0.3">
      <c r="P65" s="27"/>
      <c r="Q65" s="27"/>
      <c r="R65" s="27"/>
      <c r="S65" s="27"/>
      <c r="U65" s="27"/>
      <c r="V65" s="27"/>
      <c r="W65" s="27"/>
      <c r="AG65" s="26"/>
      <c r="AH65" s="26"/>
      <c r="AI65" s="26"/>
      <c r="AJ65" s="26"/>
      <c r="AK65" s="26"/>
      <c r="AL65" s="26"/>
      <c r="AM65" s="26"/>
      <c r="AN65" s="26"/>
      <c r="AO65" s="26"/>
      <c r="AP65" s="26"/>
    </row>
    <row r="66" spans="16:42" ht="38.1" customHeight="1" x14ac:dyDescent="0.3">
      <c r="P66" s="27"/>
      <c r="Q66" s="27"/>
      <c r="R66" s="27"/>
      <c r="S66" s="27"/>
      <c r="U66" s="27"/>
      <c r="V66" s="27"/>
      <c r="W66" s="27"/>
      <c r="AG66" s="26"/>
      <c r="AH66" s="26"/>
      <c r="AI66" s="26"/>
      <c r="AJ66" s="26"/>
      <c r="AK66" s="26"/>
      <c r="AL66" s="26"/>
      <c r="AM66" s="26"/>
      <c r="AN66" s="26"/>
      <c r="AO66" s="26"/>
      <c r="AP66" s="26"/>
    </row>
    <row r="67" spans="16:42" ht="38.1" customHeight="1" x14ac:dyDescent="0.3">
      <c r="P67" s="27"/>
      <c r="Q67" s="27"/>
      <c r="R67" s="27"/>
      <c r="S67" s="27"/>
      <c r="U67" s="27"/>
      <c r="V67" s="27"/>
      <c r="W67" s="27"/>
      <c r="AG67" s="26"/>
      <c r="AH67" s="26"/>
      <c r="AI67" s="26"/>
      <c r="AJ67" s="26"/>
      <c r="AK67" s="26"/>
      <c r="AL67" s="26"/>
      <c r="AM67" s="26"/>
      <c r="AN67" s="26"/>
      <c r="AO67" s="26"/>
      <c r="AP67" s="26"/>
    </row>
    <row r="68" spans="16:42" ht="38.1" customHeight="1" x14ac:dyDescent="0.3">
      <c r="P68" s="27"/>
      <c r="Q68" s="27"/>
      <c r="R68" s="27"/>
      <c r="S68" s="27"/>
      <c r="U68" s="27"/>
      <c r="V68" s="27"/>
      <c r="W68" s="27"/>
      <c r="AG68" s="26"/>
      <c r="AH68" s="26"/>
      <c r="AI68" s="26"/>
      <c r="AJ68" s="26"/>
      <c r="AK68" s="26"/>
      <c r="AL68" s="26"/>
      <c r="AM68" s="26"/>
      <c r="AN68" s="26"/>
      <c r="AO68" s="26"/>
      <c r="AP68" s="26"/>
    </row>
    <row r="69" spans="16:42" ht="38.1" customHeight="1" x14ac:dyDescent="0.3">
      <c r="P69" s="27"/>
      <c r="Q69" s="27"/>
      <c r="R69" s="27"/>
      <c r="S69" s="27"/>
      <c r="U69" s="27"/>
      <c r="V69" s="27"/>
      <c r="W69" s="27"/>
      <c r="AG69" s="26"/>
      <c r="AH69" s="26"/>
      <c r="AI69" s="26"/>
      <c r="AJ69" s="26"/>
      <c r="AK69" s="26"/>
      <c r="AL69" s="26"/>
      <c r="AM69" s="26"/>
      <c r="AN69" s="26"/>
      <c r="AO69" s="26"/>
      <c r="AP69" s="26"/>
    </row>
    <row r="70" spans="16:42" ht="38.1" customHeight="1" x14ac:dyDescent="0.3">
      <c r="P70" s="27"/>
      <c r="Q70" s="27"/>
      <c r="R70" s="27"/>
      <c r="S70" s="27"/>
      <c r="U70" s="27"/>
      <c r="V70" s="27"/>
      <c r="W70" s="27"/>
      <c r="AG70" s="26"/>
      <c r="AH70" s="26"/>
      <c r="AI70" s="26"/>
      <c r="AJ70" s="26"/>
      <c r="AK70" s="26"/>
      <c r="AL70" s="26"/>
      <c r="AM70" s="26"/>
      <c r="AN70" s="26"/>
      <c r="AO70" s="26"/>
      <c r="AP70" s="26"/>
    </row>
    <row r="71" spans="16:42" ht="38.1" customHeight="1" x14ac:dyDescent="0.3">
      <c r="P71" s="27"/>
      <c r="Q71" s="27"/>
      <c r="R71" s="27"/>
      <c r="S71" s="27"/>
      <c r="U71" s="27"/>
      <c r="V71" s="27"/>
      <c r="W71" s="27"/>
      <c r="AG71" s="26"/>
      <c r="AH71" s="26"/>
      <c r="AI71" s="26"/>
      <c r="AJ71" s="26"/>
      <c r="AK71" s="26"/>
      <c r="AL71" s="26"/>
      <c r="AM71" s="26"/>
      <c r="AN71" s="26"/>
      <c r="AO71" s="26"/>
      <c r="AP71" s="26"/>
    </row>
    <row r="72" spans="16:42" ht="38.1" customHeight="1" x14ac:dyDescent="0.3">
      <c r="P72" s="27"/>
      <c r="Q72" s="27"/>
      <c r="R72" s="27"/>
      <c r="S72" s="27"/>
      <c r="U72" s="27"/>
      <c r="V72" s="27"/>
      <c r="W72" s="27"/>
      <c r="AG72" s="26"/>
      <c r="AH72" s="26"/>
      <c r="AI72" s="26"/>
      <c r="AJ72" s="26"/>
      <c r="AK72" s="26"/>
      <c r="AL72" s="26"/>
      <c r="AM72" s="26"/>
      <c r="AN72" s="26"/>
      <c r="AO72" s="26"/>
      <c r="AP72" s="26"/>
    </row>
    <row r="73" spans="16:42" ht="38.1" customHeight="1" x14ac:dyDescent="0.3">
      <c r="P73" s="27"/>
      <c r="Q73" s="27"/>
      <c r="R73" s="27"/>
      <c r="S73" s="27"/>
      <c r="U73" s="27"/>
      <c r="V73" s="27"/>
      <c r="W73" s="27"/>
      <c r="AG73" s="26"/>
      <c r="AH73" s="26"/>
      <c r="AI73" s="26"/>
      <c r="AJ73" s="26"/>
      <c r="AK73" s="26"/>
      <c r="AL73" s="26"/>
      <c r="AM73" s="26"/>
      <c r="AN73" s="26"/>
      <c r="AO73" s="26"/>
      <c r="AP73" s="26"/>
    </row>
    <row r="74" spans="16:42" ht="38.1" customHeight="1" x14ac:dyDescent="0.3">
      <c r="P74" s="27"/>
      <c r="Q74" s="27"/>
      <c r="R74" s="27"/>
      <c r="S74" s="27"/>
      <c r="U74" s="27"/>
      <c r="V74" s="27"/>
      <c r="W74" s="27"/>
      <c r="AG74" s="26"/>
      <c r="AH74" s="26"/>
      <c r="AI74" s="26"/>
      <c r="AJ74" s="26"/>
      <c r="AK74" s="26"/>
      <c r="AL74" s="26"/>
      <c r="AM74" s="26"/>
      <c r="AN74" s="26"/>
      <c r="AO74" s="26"/>
      <c r="AP74" s="26"/>
    </row>
    <row r="75" spans="16:42" ht="38.1" customHeight="1" x14ac:dyDescent="0.3">
      <c r="P75" s="27"/>
      <c r="Q75" s="27"/>
      <c r="R75" s="27"/>
      <c r="S75" s="27"/>
      <c r="U75" s="27"/>
      <c r="V75" s="27"/>
      <c r="W75" s="27"/>
      <c r="AG75" s="26"/>
      <c r="AH75" s="26"/>
      <c r="AI75" s="26"/>
      <c r="AJ75" s="26"/>
      <c r="AK75" s="26"/>
      <c r="AL75" s="26"/>
      <c r="AM75" s="26"/>
      <c r="AN75" s="26"/>
      <c r="AO75" s="26"/>
      <c r="AP75" s="26"/>
    </row>
    <row r="76" spans="16:42" ht="38.1" customHeight="1" x14ac:dyDescent="0.3">
      <c r="P76" s="27"/>
      <c r="Q76" s="27"/>
      <c r="R76" s="27"/>
      <c r="S76" s="27"/>
      <c r="U76" s="27"/>
      <c r="V76" s="27"/>
      <c r="W76" s="27"/>
      <c r="AG76" s="26"/>
      <c r="AH76" s="26"/>
      <c r="AI76" s="26"/>
      <c r="AJ76" s="26"/>
      <c r="AK76" s="26"/>
      <c r="AL76" s="26"/>
      <c r="AM76" s="26"/>
      <c r="AN76" s="26"/>
      <c r="AO76" s="26"/>
      <c r="AP76" s="26"/>
    </row>
    <row r="77" spans="16:42" ht="38.1" customHeight="1" x14ac:dyDescent="0.3">
      <c r="P77" s="27"/>
      <c r="Q77" s="27"/>
      <c r="R77" s="27"/>
      <c r="S77" s="27"/>
      <c r="U77" s="27"/>
      <c r="V77" s="27"/>
      <c r="W77" s="27"/>
      <c r="AG77" s="26"/>
      <c r="AH77" s="26"/>
      <c r="AI77" s="26"/>
      <c r="AJ77" s="26"/>
      <c r="AK77" s="26"/>
      <c r="AL77" s="26"/>
      <c r="AM77" s="26"/>
      <c r="AN77" s="26"/>
      <c r="AO77" s="26"/>
      <c r="AP77" s="26"/>
    </row>
    <row r="78" spans="16:42" ht="38.1" customHeight="1" x14ac:dyDescent="0.3">
      <c r="P78" s="27"/>
      <c r="Q78" s="27"/>
      <c r="R78" s="27"/>
      <c r="S78" s="27"/>
      <c r="U78" s="27"/>
      <c r="V78" s="27"/>
      <c r="W78" s="27"/>
      <c r="AG78" s="26"/>
      <c r="AH78" s="26"/>
      <c r="AI78" s="26"/>
      <c r="AJ78" s="26"/>
      <c r="AK78" s="26"/>
      <c r="AL78" s="26"/>
      <c r="AM78" s="26"/>
      <c r="AN78" s="26"/>
      <c r="AO78" s="26"/>
      <c r="AP78" s="26"/>
    </row>
    <row r="79" spans="16:42" ht="38.1" customHeight="1" x14ac:dyDescent="0.3">
      <c r="P79" s="27"/>
      <c r="Q79" s="27"/>
      <c r="R79" s="27"/>
      <c r="S79" s="27"/>
      <c r="U79" s="27"/>
      <c r="V79" s="27"/>
      <c r="W79" s="27"/>
      <c r="AG79" s="26"/>
      <c r="AH79" s="26"/>
      <c r="AI79" s="26"/>
      <c r="AJ79" s="26"/>
      <c r="AK79" s="26"/>
      <c r="AL79" s="26"/>
      <c r="AM79" s="26"/>
      <c r="AN79" s="26"/>
      <c r="AO79" s="26"/>
      <c r="AP79" s="26"/>
    </row>
    <row r="80" spans="16:42" ht="38.1" customHeight="1" x14ac:dyDescent="0.3">
      <c r="P80" s="27"/>
      <c r="Q80" s="27"/>
      <c r="R80" s="27"/>
      <c r="S80" s="27"/>
      <c r="U80" s="27"/>
      <c r="V80" s="27"/>
      <c r="W80" s="27"/>
      <c r="AG80" s="26"/>
      <c r="AH80" s="26"/>
      <c r="AI80" s="26"/>
      <c r="AJ80" s="26"/>
      <c r="AK80" s="26"/>
      <c r="AL80" s="26"/>
      <c r="AM80" s="26"/>
      <c r="AN80" s="26"/>
      <c r="AO80" s="26"/>
      <c r="AP80" s="26"/>
    </row>
    <row r="81" spans="5:42" ht="38.1" customHeight="1" x14ac:dyDescent="0.3">
      <c r="P81" s="27"/>
      <c r="Q81" s="27"/>
      <c r="R81" s="27"/>
      <c r="S81" s="27"/>
      <c r="U81" s="27"/>
      <c r="V81" s="27"/>
      <c r="W81" s="27"/>
      <c r="AG81" s="26"/>
      <c r="AH81" s="26"/>
      <c r="AI81" s="26"/>
      <c r="AJ81" s="26"/>
      <c r="AK81" s="26"/>
      <c r="AL81" s="26"/>
      <c r="AM81" s="26"/>
      <c r="AN81" s="26"/>
      <c r="AO81" s="26"/>
      <c r="AP81" s="26"/>
    </row>
    <row r="82" spans="5:42" ht="38.1" customHeight="1" x14ac:dyDescent="0.3">
      <c r="P82" s="27"/>
      <c r="Q82" s="27"/>
      <c r="R82" s="27"/>
      <c r="S82" s="27"/>
      <c r="U82" s="27"/>
      <c r="V82" s="27"/>
      <c r="W82" s="27"/>
      <c r="AG82" s="26"/>
      <c r="AH82" s="26"/>
      <c r="AI82" s="26"/>
      <c r="AJ82" s="26"/>
      <c r="AK82" s="26"/>
      <c r="AL82" s="26"/>
      <c r="AM82" s="26"/>
      <c r="AN82" s="26"/>
      <c r="AO82" s="26"/>
      <c r="AP82" s="26"/>
    </row>
    <row r="83" spans="5:42" ht="38.1" customHeight="1" x14ac:dyDescent="0.3">
      <c r="P83" s="27"/>
      <c r="Q83" s="27"/>
      <c r="R83" s="27"/>
      <c r="S83" s="27"/>
      <c r="U83" s="27"/>
      <c r="V83" s="27"/>
      <c r="W83" s="27"/>
      <c r="AG83" s="26"/>
      <c r="AH83" s="26"/>
      <c r="AI83" s="26"/>
      <c r="AJ83" s="26"/>
      <c r="AK83" s="26"/>
      <c r="AL83" s="26"/>
      <c r="AM83" s="26"/>
      <c r="AN83" s="26"/>
      <c r="AO83" s="26"/>
      <c r="AP83" s="26"/>
    </row>
    <row r="84" spans="5:42" ht="38.1" customHeight="1" x14ac:dyDescent="0.3">
      <c r="P84" s="27"/>
      <c r="Q84" s="27"/>
      <c r="R84" s="27"/>
      <c r="S84" s="27"/>
      <c r="U84" s="27"/>
      <c r="V84" s="27"/>
      <c r="W84" s="27"/>
      <c r="AG84" s="26"/>
      <c r="AH84" s="26"/>
      <c r="AI84" s="26"/>
      <c r="AJ84" s="26"/>
      <c r="AK84" s="26"/>
      <c r="AL84" s="26"/>
      <c r="AM84" s="26"/>
      <c r="AN84" s="26"/>
      <c r="AO84" s="26"/>
      <c r="AP84" s="26"/>
    </row>
    <row r="85" spans="5:42" ht="38.1" customHeight="1" x14ac:dyDescent="0.3">
      <c r="P85" s="27"/>
      <c r="Q85" s="27"/>
      <c r="R85" s="27"/>
      <c r="S85" s="27"/>
      <c r="U85" s="27"/>
      <c r="V85" s="27"/>
      <c r="W85" s="27"/>
      <c r="AG85" s="26"/>
      <c r="AH85" s="26"/>
      <c r="AI85" s="26"/>
      <c r="AJ85" s="26"/>
      <c r="AK85" s="26"/>
      <c r="AL85" s="26"/>
      <c r="AM85" s="26"/>
      <c r="AN85" s="26"/>
      <c r="AO85" s="26"/>
      <c r="AP85" s="26"/>
    </row>
    <row r="86" spans="5:42" ht="38.1" customHeight="1" x14ac:dyDescent="0.3">
      <c r="E86" s="25"/>
      <c r="P86" s="27"/>
      <c r="Q86" s="27"/>
      <c r="R86" s="27"/>
      <c r="S86" s="27"/>
      <c r="U86" s="27"/>
      <c r="V86" s="27"/>
      <c r="W86" s="27"/>
      <c r="AG86" s="26"/>
      <c r="AH86" s="26"/>
      <c r="AI86" s="26"/>
      <c r="AJ86" s="26"/>
      <c r="AK86" s="26"/>
      <c r="AL86" s="26"/>
      <c r="AM86" s="26"/>
      <c r="AN86" s="26"/>
      <c r="AO86" s="26"/>
      <c r="AP86" s="26"/>
    </row>
    <row r="87" spans="5:42" ht="38.1" customHeight="1" x14ac:dyDescent="0.3">
      <c r="E87" s="25"/>
      <c r="P87" s="27"/>
      <c r="Q87" s="27"/>
      <c r="R87" s="27"/>
      <c r="S87" s="27"/>
      <c r="U87" s="27"/>
      <c r="V87" s="27"/>
      <c r="W87" s="27"/>
      <c r="AG87" s="26"/>
      <c r="AH87" s="26"/>
      <c r="AI87" s="26"/>
      <c r="AJ87" s="26"/>
      <c r="AK87" s="26"/>
      <c r="AL87" s="26"/>
      <c r="AM87" s="26"/>
      <c r="AN87" s="26"/>
      <c r="AO87" s="26"/>
      <c r="AP87" s="26"/>
    </row>
    <row r="88" spans="5:42" ht="38.1" customHeight="1" x14ac:dyDescent="0.3">
      <c r="E88" s="25"/>
      <c r="P88" s="27"/>
      <c r="Q88" s="27"/>
      <c r="R88" s="27"/>
      <c r="S88" s="27"/>
      <c r="U88" s="27"/>
      <c r="V88" s="27"/>
      <c r="W88" s="27"/>
      <c r="AG88" s="26"/>
      <c r="AH88" s="26"/>
      <c r="AI88" s="26"/>
      <c r="AJ88" s="26"/>
      <c r="AK88" s="26"/>
      <c r="AL88" s="26"/>
      <c r="AM88" s="26"/>
      <c r="AN88" s="26"/>
      <c r="AO88" s="26"/>
      <c r="AP88" s="26"/>
    </row>
    <row r="89" spans="5:42" ht="38.1" customHeight="1" x14ac:dyDescent="0.3">
      <c r="E89" s="25"/>
      <c r="P89" s="27"/>
      <c r="Q89" s="27"/>
      <c r="R89" s="27"/>
      <c r="S89" s="27"/>
      <c r="U89" s="27"/>
      <c r="V89" s="27"/>
      <c r="W89" s="27"/>
      <c r="AG89" s="26"/>
      <c r="AH89" s="26"/>
      <c r="AI89" s="26"/>
      <c r="AJ89" s="26"/>
      <c r="AK89" s="26"/>
      <c r="AL89" s="26"/>
      <c r="AM89" s="26"/>
      <c r="AN89" s="26"/>
      <c r="AO89" s="26"/>
      <c r="AP89" s="26"/>
    </row>
    <row r="90" spans="5:42" ht="38.1" customHeight="1" x14ac:dyDescent="0.3">
      <c r="E90" s="25"/>
      <c r="P90" s="27"/>
      <c r="Q90" s="27"/>
      <c r="R90" s="27"/>
      <c r="S90" s="27"/>
      <c r="U90" s="27"/>
      <c r="V90" s="27"/>
      <c r="W90" s="27"/>
      <c r="AG90" s="26"/>
      <c r="AH90" s="26"/>
      <c r="AI90" s="26"/>
      <c r="AJ90" s="26"/>
      <c r="AK90" s="26"/>
      <c r="AL90" s="26"/>
      <c r="AM90" s="26"/>
      <c r="AN90" s="26"/>
      <c r="AO90" s="26"/>
      <c r="AP90" s="26"/>
    </row>
    <row r="91" spans="5:42" ht="38.1" customHeight="1" x14ac:dyDescent="0.3">
      <c r="E91" s="25"/>
      <c r="P91" s="27"/>
      <c r="Q91" s="27"/>
      <c r="R91" s="27"/>
      <c r="S91" s="27"/>
      <c r="U91" s="27"/>
      <c r="V91" s="27"/>
      <c r="W91" s="27"/>
      <c r="AG91" s="26"/>
      <c r="AH91" s="26"/>
      <c r="AI91" s="26"/>
      <c r="AJ91" s="26"/>
      <c r="AK91" s="26"/>
      <c r="AL91" s="26"/>
      <c r="AM91" s="26"/>
      <c r="AN91" s="26"/>
      <c r="AO91" s="26"/>
      <c r="AP91" s="26"/>
    </row>
    <row r="92" spans="5:42" ht="38.1" customHeight="1" x14ac:dyDescent="0.3">
      <c r="E92" s="25"/>
      <c r="P92" s="27"/>
      <c r="Q92" s="27"/>
      <c r="R92" s="27"/>
      <c r="S92" s="27"/>
      <c r="U92" s="27"/>
      <c r="V92" s="27"/>
      <c r="W92" s="27"/>
      <c r="AL92" s="26"/>
    </row>
    <row r="93" spans="5:42" ht="38.1" customHeight="1" x14ac:dyDescent="0.3">
      <c r="E93" s="25"/>
      <c r="P93" s="27"/>
      <c r="Q93" s="27"/>
      <c r="R93" s="27"/>
      <c r="S93" s="27"/>
      <c r="U93" s="27"/>
      <c r="V93" s="27"/>
      <c r="W93" s="27"/>
    </row>
    <row r="94" spans="5:42" ht="38.1" customHeight="1" x14ac:dyDescent="0.3">
      <c r="E94" s="25"/>
      <c r="P94" s="27"/>
      <c r="Q94" s="27"/>
      <c r="R94" s="27"/>
      <c r="S94" s="27"/>
      <c r="U94" s="27"/>
      <c r="V94" s="27"/>
      <c r="W94" s="27"/>
    </row>
    <row r="95" spans="5:42" ht="38.1" customHeight="1" x14ac:dyDescent="0.3">
      <c r="E95" s="25"/>
      <c r="P95" s="27"/>
      <c r="Q95" s="27"/>
      <c r="R95" s="27"/>
      <c r="S95" s="27"/>
      <c r="U95" s="27"/>
      <c r="V95" s="27"/>
      <c r="W95" s="27"/>
    </row>
    <row r="96" spans="5:42" ht="38.1" customHeight="1" x14ac:dyDescent="0.3">
      <c r="E96" s="25"/>
      <c r="P96" s="27"/>
      <c r="Q96" s="27"/>
      <c r="R96" s="27"/>
      <c r="S96" s="27"/>
      <c r="U96" s="27"/>
      <c r="V96" s="27"/>
      <c r="W96" s="27"/>
    </row>
    <row r="97" spans="5:23" ht="38.1" customHeight="1" x14ac:dyDescent="0.3">
      <c r="E97" s="25"/>
      <c r="P97" s="27"/>
      <c r="Q97" s="27"/>
      <c r="R97" s="27"/>
      <c r="S97" s="27"/>
      <c r="U97" s="27"/>
      <c r="V97" s="27"/>
      <c r="W97" s="27"/>
    </row>
    <row r="98" spans="5:23" ht="38.1" customHeight="1" x14ac:dyDescent="0.3">
      <c r="E98" s="25"/>
      <c r="P98" s="27"/>
      <c r="Q98" s="27"/>
      <c r="R98" s="27"/>
      <c r="S98" s="27"/>
      <c r="U98" s="27"/>
      <c r="V98" s="27"/>
      <c r="W98" s="27"/>
    </row>
    <row r="99" spans="5:23" ht="38.1" customHeight="1" x14ac:dyDescent="0.3">
      <c r="E99" s="25"/>
      <c r="P99" s="27"/>
      <c r="Q99" s="27"/>
      <c r="R99" s="27"/>
      <c r="S99" s="27"/>
      <c r="U99" s="27"/>
      <c r="V99" s="27"/>
      <c r="W99" s="27"/>
    </row>
    <row r="100" spans="5:23" ht="38.1" customHeight="1" x14ac:dyDescent="0.3">
      <c r="E100" s="25"/>
      <c r="P100" s="27"/>
      <c r="Q100" s="27"/>
      <c r="R100" s="27"/>
      <c r="S100" s="27"/>
      <c r="U100" s="27"/>
      <c r="V100" s="27"/>
      <c r="W100" s="27"/>
    </row>
    <row r="101" spans="5:23" ht="38.1" customHeight="1" x14ac:dyDescent="0.3">
      <c r="E101" s="25"/>
      <c r="P101" s="27"/>
      <c r="Q101" s="27"/>
      <c r="R101" s="27"/>
      <c r="S101" s="27"/>
      <c r="U101" s="27"/>
      <c r="V101" s="27"/>
      <c r="W101" s="27"/>
    </row>
    <row r="102" spans="5:23" ht="38.1" customHeight="1" x14ac:dyDescent="0.3">
      <c r="E102" s="25"/>
      <c r="P102" s="27"/>
      <c r="Q102" s="27"/>
      <c r="R102" s="27"/>
      <c r="S102" s="27"/>
      <c r="U102" s="27"/>
      <c r="V102" s="27"/>
      <c r="W102" s="27"/>
    </row>
    <row r="103" spans="5:23" ht="38.1" customHeight="1" x14ac:dyDescent="0.3">
      <c r="E103" s="25"/>
      <c r="P103" s="27"/>
      <c r="Q103" s="27"/>
      <c r="R103" s="27"/>
      <c r="S103" s="27"/>
      <c r="U103" s="27"/>
      <c r="V103" s="27"/>
      <c r="W103" s="27"/>
    </row>
    <row r="104" spans="5:23" ht="38.1" customHeight="1" x14ac:dyDescent="0.3">
      <c r="E104" s="25"/>
      <c r="F104" s="25"/>
      <c r="H104" s="25"/>
      <c r="I104" s="25"/>
      <c r="J104" s="25"/>
      <c r="K104" s="25"/>
      <c r="L104" s="25"/>
      <c r="M104" s="25"/>
      <c r="N104" s="25"/>
      <c r="P104" s="27"/>
      <c r="Q104" s="27"/>
      <c r="R104" s="27"/>
      <c r="S104" s="27"/>
      <c r="U104" s="27"/>
      <c r="V104" s="27"/>
      <c r="W104" s="27"/>
    </row>
    <row r="105" spans="5:23" ht="38.1" customHeight="1" x14ac:dyDescent="0.3">
      <c r="E105" s="25"/>
      <c r="F105" s="25"/>
      <c r="H105" s="25"/>
      <c r="I105" s="25"/>
      <c r="J105" s="25"/>
      <c r="K105" s="25"/>
      <c r="L105" s="25"/>
      <c r="M105" s="25"/>
      <c r="N105" s="25"/>
      <c r="P105" s="27"/>
      <c r="Q105" s="27"/>
      <c r="R105" s="27"/>
      <c r="S105" s="27"/>
      <c r="U105" s="27"/>
      <c r="V105" s="27"/>
      <c r="W105" s="27"/>
    </row>
    <row r="106" spans="5:23" ht="38.1" customHeight="1" x14ac:dyDescent="0.3">
      <c r="E106" s="25"/>
      <c r="F106" s="25"/>
      <c r="H106" s="25"/>
      <c r="I106" s="25"/>
      <c r="J106" s="25"/>
      <c r="K106" s="25"/>
      <c r="L106" s="25"/>
      <c r="M106" s="25"/>
      <c r="N106" s="25"/>
      <c r="P106" s="27"/>
      <c r="Q106" s="27"/>
      <c r="R106" s="27"/>
      <c r="S106" s="27"/>
      <c r="U106" s="27"/>
      <c r="V106" s="27"/>
      <c r="W106" s="27"/>
    </row>
    <row r="107" spans="5:23" ht="38.1" customHeight="1" x14ac:dyDescent="0.3">
      <c r="E107" s="25"/>
      <c r="F107" s="25"/>
      <c r="H107" s="25"/>
      <c r="I107" s="25"/>
      <c r="J107" s="25"/>
      <c r="K107" s="25"/>
      <c r="L107" s="25"/>
      <c r="M107" s="25"/>
      <c r="N107" s="25"/>
      <c r="P107" s="27"/>
      <c r="Q107" s="27"/>
      <c r="R107" s="27"/>
      <c r="S107" s="27"/>
      <c r="U107" s="27"/>
      <c r="V107" s="27"/>
      <c r="W107" s="27"/>
    </row>
    <row r="108" spans="5:23" ht="38.1" customHeight="1" x14ac:dyDescent="0.3">
      <c r="E108" s="25"/>
      <c r="F108" s="25"/>
      <c r="H108" s="25"/>
      <c r="I108" s="25"/>
      <c r="J108" s="25"/>
      <c r="K108" s="25"/>
      <c r="L108" s="25"/>
      <c r="M108" s="25"/>
      <c r="N108" s="25"/>
      <c r="P108" s="27"/>
      <c r="Q108" s="27"/>
      <c r="R108" s="27"/>
      <c r="S108" s="27"/>
      <c r="U108" s="27"/>
      <c r="V108" s="27"/>
      <c r="W108" s="27"/>
    </row>
    <row r="109" spans="5:23" ht="38.1" customHeight="1" x14ac:dyDescent="0.3">
      <c r="E109" s="25"/>
      <c r="F109" s="25"/>
      <c r="H109" s="25"/>
      <c r="I109" s="25"/>
      <c r="J109" s="25"/>
      <c r="K109" s="25"/>
      <c r="L109" s="25"/>
      <c r="M109" s="25"/>
      <c r="N109" s="25"/>
      <c r="P109" s="27"/>
      <c r="Q109" s="27"/>
      <c r="R109" s="27"/>
      <c r="S109" s="27"/>
      <c r="U109" s="27"/>
      <c r="V109" s="27"/>
      <c r="W109" s="27"/>
    </row>
    <row r="110" spans="5:23" ht="38.1" customHeight="1" x14ac:dyDescent="0.3">
      <c r="E110" s="25"/>
      <c r="F110" s="25"/>
      <c r="H110" s="25"/>
      <c r="I110" s="25"/>
      <c r="J110" s="25"/>
      <c r="K110" s="25"/>
      <c r="L110" s="25"/>
      <c r="M110" s="25"/>
      <c r="N110" s="25"/>
      <c r="P110" s="27"/>
      <c r="Q110" s="27"/>
      <c r="R110" s="27"/>
      <c r="S110" s="27"/>
      <c r="U110" s="27"/>
      <c r="V110" s="27"/>
      <c r="W110" s="27"/>
    </row>
    <row r="111" spans="5:23" ht="38.1" customHeight="1" x14ac:dyDescent="0.3">
      <c r="E111" s="25"/>
      <c r="F111" s="25"/>
      <c r="H111" s="25"/>
      <c r="I111" s="25"/>
      <c r="J111" s="25"/>
      <c r="K111" s="25"/>
      <c r="L111" s="25"/>
      <c r="M111" s="25"/>
      <c r="N111" s="25"/>
      <c r="P111" s="27"/>
      <c r="Q111" s="27"/>
      <c r="R111" s="27"/>
      <c r="S111" s="27"/>
      <c r="U111" s="27"/>
      <c r="V111" s="27"/>
      <c r="W111" s="27"/>
    </row>
    <row r="112" spans="5:23" ht="38.1" customHeight="1" x14ac:dyDescent="0.3">
      <c r="E112" s="25"/>
      <c r="F112" s="25"/>
      <c r="H112" s="25"/>
      <c r="I112" s="25"/>
      <c r="J112" s="25"/>
      <c r="K112" s="25"/>
      <c r="L112" s="25"/>
      <c r="M112" s="25"/>
      <c r="N112" s="25"/>
      <c r="P112" s="27"/>
      <c r="Q112" s="27"/>
      <c r="R112" s="27"/>
      <c r="S112" s="27"/>
      <c r="U112" s="27"/>
      <c r="V112" s="27"/>
      <c r="W112" s="27"/>
    </row>
    <row r="113" spans="5:23" ht="38.1" customHeight="1" x14ac:dyDescent="0.3">
      <c r="E113" s="25"/>
      <c r="F113" s="25"/>
      <c r="H113" s="25"/>
      <c r="I113" s="25"/>
      <c r="J113" s="25"/>
      <c r="K113" s="25"/>
      <c r="L113" s="25"/>
      <c r="M113" s="25"/>
      <c r="N113" s="25"/>
      <c r="P113" s="27"/>
      <c r="Q113" s="27"/>
      <c r="R113" s="27"/>
      <c r="S113" s="27"/>
      <c r="U113" s="27"/>
      <c r="V113" s="27"/>
      <c r="W113" s="27"/>
    </row>
    <row r="114" spans="5:23" ht="38.1" customHeight="1" x14ac:dyDescent="0.3">
      <c r="E114" s="25"/>
      <c r="F114" s="25"/>
      <c r="H114" s="25"/>
      <c r="I114" s="25"/>
      <c r="J114" s="25"/>
      <c r="K114" s="25"/>
      <c r="L114" s="25"/>
      <c r="M114" s="25"/>
      <c r="N114" s="25"/>
      <c r="P114" s="27"/>
      <c r="Q114" s="27"/>
      <c r="R114" s="27"/>
      <c r="S114" s="27"/>
      <c r="U114" s="27"/>
      <c r="V114" s="27"/>
      <c r="W114" s="27"/>
    </row>
    <row r="115" spans="5:23" ht="38.1" customHeight="1" x14ac:dyDescent="0.3">
      <c r="E115" s="25"/>
      <c r="F115" s="25"/>
      <c r="H115" s="25"/>
      <c r="I115" s="25"/>
      <c r="J115" s="25"/>
      <c r="K115" s="25"/>
      <c r="L115" s="25"/>
      <c r="M115" s="25"/>
      <c r="N115" s="25"/>
      <c r="P115" s="27"/>
      <c r="Q115" s="27"/>
      <c r="R115" s="27"/>
      <c r="S115" s="27"/>
      <c r="U115" s="27"/>
      <c r="V115" s="27"/>
      <c r="W115" s="27"/>
    </row>
    <row r="116" spans="5:23" ht="38.1" customHeight="1" x14ac:dyDescent="0.3">
      <c r="E116" s="25"/>
      <c r="F116" s="25"/>
      <c r="H116" s="25"/>
      <c r="I116" s="25"/>
      <c r="J116" s="25"/>
      <c r="K116" s="25"/>
      <c r="L116" s="25"/>
      <c r="M116" s="25"/>
      <c r="N116" s="25"/>
      <c r="P116" s="27"/>
      <c r="Q116" s="27"/>
      <c r="R116" s="27"/>
      <c r="S116" s="27"/>
      <c r="U116" s="27"/>
      <c r="V116" s="27"/>
      <c r="W116" s="27"/>
    </row>
    <row r="117" spans="5:23" ht="38.1" customHeight="1" x14ac:dyDescent="0.3">
      <c r="E117" s="25"/>
      <c r="F117" s="25"/>
      <c r="H117" s="25"/>
      <c r="I117" s="25"/>
      <c r="J117" s="25"/>
      <c r="K117" s="25"/>
      <c r="L117" s="25"/>
      <c r="M117" s="25"/>
      <c r="N117" s="25"/>
      <c r="P117" s="27"/>
      <c r="Q117" s="27"/>
      <c r="R117" s="27"/>
      <c r="S117" s="27"/>
      <c r="U117" s="27"/>
      <c r="V117" s="27"/>
      <c r="W117" s="27"/>
    </row>
    <row r="118" spans="5:23" ht="38.1" customHeight="1" x14ac:dyDescent="0.3">
      <c r="E118" s="25"/>
      <c r="F118" s="25"/>
      <c r="H118" s="25"/>
      <c r="I118" s="25"/>
      <c r="J118" s="25"/>
      <c r="K118" s="25"/>
      <c r="L118" s="25"/>
      <c r="M118" s="25"/>
      <c r="N118" s="25"/>
      <c r="P118" s="27"/>
      <c r="Q118" s="27"/>
      <c r="R118" s="27"/>
      <c r="S118" s="27"/>
      <c r="U118" s="27"/>
      <c r="V118" s="27"/>
      <c r="W118" s="27"/>
    </row>
    <row r="119" spans="5:23" ht="38.1" customHeight="1" x14ac:dyDescent="0.3">
      <c r="E119" s="25"/>
      <c r="F119" s="25"/>
      <c r="H119" s="25"/>
      <c r="I119" s="25"/>
      <c r="J119" s="25"/>
      <c r="K119" s="25"/>
      <c r="L119" s="25"/>
      <c r="M119" s="25"/>
      <c r="N119" s="25"/>
      <c r="P119" s="27"/>
      <c r="Q119" s="27"/>
      <c r="R119" s="27"/>
      <c r="S119" s="27"/>
      <c r="U119" s="27"/>
      <c r="V119" s="27"/>
      <c r="W119" s="27"/>
    </row>
    <row r="120" spans="5:23" ht="38.1" customHeight="1" x14ac:dyDescent="0.3">
      <c r="E120" s="25"/>
      <c r="F120" s="25"/>
      <c r="H120" s="25"/>
      <c r="I120" s="25"/>
      <c r="J120" s="25"/>
      <c r="K120" s="25"/>
      <c r="L120" s="25"/>
      <c r="M120" s="25"/>
      <c r="N120" s="25"/>
      <c r="P120" s="27"/>
      <c r="Q120" s="27"/>
      <c r="R120" s="27"/>
      <c r="S120" s="27"/>
      <c r="U120" s="27"/>
      <c r="V120" s="27"/>
      <c r="W120" s="27"/>
    </row>
    <row r="121" spans="5:23" ht="38.1" customHeight="1" x14ac:dyDescent="0.3">
      <c r="E121" s="25"/>
      <c r="F121" s="25"/>
      <c r="H121" s="25"/>
      <c r="I121" s="25"/>
      <c r="J121" s="25"/>
      <c r="K121" s="25"/>
      <c r="L121" s="25"/>
      <c r="M121" s="25"/>
      <c r="N121" s="25"/>
      <c r="P121" s="27"/>
      <c r="Q121" s="27"/>
      <c r="R121" s="27"/>
      <c r="S121" s="27"/>
      <c r="U121" s="27"/>
      <c r="V121" s="27"/>
      <c r="W121" s="27"/>
    </row>
    <row r="122" spans="5:23" ht="38.1" customHeight="1" x14ac:dyDescent="0.3">
      <c r="E122" s="25"/>
      <c r="F122" s="25"/>
      <c r="H122" s="25"/>
      <c r="I122" s="25"/>
      <c r="J122" s="25"/>
      <c r="K122" s="25"/>
      <c r="L122" s="25"/>
      <c r="M122" s="25"/>
      <c r="N122" s="25"/>
      <c r="P122" s="27"/>
      <c r="Q122" s="27"/>
      <c r="R122" s="27"/>
      <c r="S122" s="27"/>
      <c r="U122" s="27"/>
      <c r="V122" s="27"/>
      <c r="W122" s="27"/>
    </row>
    <row r="123" spans="5:23" ht="38.1" customHeight="1" x14ac:dyDescent="0.3">
      <c r="E123" s="25"/>
      <c r="F123" s="25"/>
      <c r="H123" s="25"/>
      <c r="I123" s="25"/>
      <c r="J123" s="25"/>
      <c r="K123" s="25"/>
      <c r="L123" s="25"/>
      <c r="M123" s="25"/>
      <c r="N123" s="25"/>
      <c r="P123" s="27"/>
      <c r="Q123" s="27"/>
      <c r="R123" s="27"/>
      <c r="S123" s="27"/>
      <c r="U123" s="27"/>
      <c r="V123" s="27"/>
      <c r="W123" s="27"/>
    </row>
    <row r="124" spans="5:23" ht="38.1" customHeight="1" x14ac:dyDescent="0.3">
      <c r="E124" s="25"/>
      <c r="F124" s="25"/>
      <c r="H124" s="25"/>
      <c r="I124" s="25"/>
      <c r="J124" s="25"/>
      <c r="K124" s="25"/>
      <c r="L124" s="25"/>
      <c r="M124" s="25"/>
      <c r="N124" s="25"/>
      <c r="P124" s="27"/>
      <c r="Q124" s="27"/>
      <c r="R124" s="27"/>
      <c r="S124" s="27"/>
      <c r="U124" s="27"/>
      <c r="V124" s="27"/>
      <c r="W124" s="27"/>
    </row>
    <row r="125" spans="5:23" ht="38.1" customHeight="1" x14ac:dyDescent="0.3">
      <c r="E125" s="25"/>
      <c r="F125" s="25"/>
      <c r="H125" s="25"/>
      <c r="I125" s="25"/>
      <c r="J125" s="25"/>
      <c r="K125" s="25"/>
      <c r="L125" s="25"/>
      <c r="M125" s="25"/>
      <c r="N125" s="25"/>
      <c r="P125" s="27"/>
      <c r="Q125" s="27"/>
      <c r="R125" s="27"/>
      <c r="S125" s="27"/>
      <c r="U125" s="27"/>
      <c r="V125" s="27"/>
      <c r="W125" s="27"/>
    </row>
    <row r="126" spans="5:23" ht="38.1" customHeight="1" x14ac:dyDescent="0.3">
      <c r="E126" s="25"/>
      <c r="F126" s="25"/>
      <c r="H126" s="25"/>
      <c r="I126" s="25"/>
      <c r="J126" s="25"/>
      <c r="K126" s="25"/>
      <c r="L126" s="25"/>
      <c r="M126" s="25"/>
      <c r="N126" s="25"/>
      <c r="P126" s="27"/>
      <c r="Q126" s="27"/>
      <c r="R126" s="27"/>
      <c r="S126" s="27"/>
      <c r="U126" s="27"/>
      <c r="V126" s="27"/>
      <c r="W126" s="27"/>
    </row>
    <row r="127" spans="5:23" ht="38.1" customHeight="1" x14ac:dyDescent="0.3">
      <c r="E127" s="25"/>
      <c r="F127" s="25"/>
      <c r="H127" s="25"/>
      <c r="I127" s="25"/>
      <c r="J127" s="25"/>
      <c r="K127" s="25"/>
      <c r="L127" s="25"/>
      <c r="M127" s="25"/>
      <c r="N127" s="25"/>
      <c r="P127" s="27"/>
      <c r="Q127" s="27"/>
      <c r="R127" s="27"/>
      <c r="S127" s="27"/>
      <c r="U127" s="27"/>
      <c r="V127" s="27"/>
      <c r="W127" s="27"/>
    </row>
    <row r="128" spans="5:23" ht="38.1" customHeight="1" x14ac:dyDescent="0.3">
      <c r="E128" s="25"/>
      <c r="F128" s="25"/>
      <c r="H128" s="25"/>
      <c r="I128" s="25"/>
      <c r="J128" s="25"/>
      <c r="K128" s="25"/>
      <c r="L128" s="25"/>
      <c r="M128" s="25"/>
      <c r="N128" s="25"/>
      <c r="P128" s="27"/>
      <c r="Q128" s="27"/>
      <c r="R128" s="27"/>
      <c r="S128" s="27"/>
      <c r="U128" s="27"/>
      <c r="V128" s="27"/>
      <c r="W128" s="27"/>
    </row>
    <row r="129" spans="5:23" ht="38.1" customHeight="1" x14ac:dyDescent="0.3">
      <c r="E129" s="25"/>
      <c r="F129" s="25"/>
      <c r="H129" s="25"/>
      <c r="I129" s="25"/>
      <c r="J129" s="25"/>
      <c r="K129" s="25"/>
      <c r="L129" s="25"/>
      <c r="M129" s="25"/>
      <c r="N129" s="25"/>
      <c r="P129" s="27"/>
      <c r="Q129" s="27"/>
      <c r="R129" s="27"/>
      <c r="S129" s="27"/>
      <c r="U129" s="27"/>
      <c r="V129" s="27"/>
      <c r="W129" s="27"/>
    </row>
    <row r="130" spans="5:23" ht="38.1" customHeight="1" x14ac:dyDescent="0.3">
      <c r="E130" s="25"/>
      <c r="F130" s="25"/>
      <c r="H130" s="25"/>
      <c r="I130" s="25"/>
      <c r="J130" s="25"/>
      <c r="K130" s="25"/>
      <c r="L130" s="25"/>
      <c r="M130" s="25"/>
      <c r="N130" s="25"/>
      <c r="P130" s="27"/>
      <c r="Q130" s="27"/>
      <c r="R130" s="27"/>
      <c r="S130" s="27"/>
      <c r="U130" s="27"/>
      <c r="V130" s="27"/>
      <c r="W130" s="27"/>
    </row>
    <row r="131" spans="5:23" ht="38.1" customHeight="1" x14ac:dyDescent="0.3">
      <c r="E131" s="25"/>
      <c r="F131" s="25"/>
      <c r="H131" s="25"/>
      <c r="I131" s="25"/>
      <c r="J131" s="25"/>
      <c r="K131" s="25"/>
      <c r="L131" s="25"/>
      <c r="M131" s="25"/>
      <c r="N131" s="25"/>
      <c r="P131" s="27"/>
      <c r="Q131" s="27"/>
      <c r="R131" s="27"/>
      <c r="S131" s="27"/>
      <c r="U131" s="27"/>
      <c r="V131" s="27"/>
      <c r="W131" s="27"/>
    </row>
    <row r="132" spans="5:23" ht="38.1" customHeight="1" x14ac:dyDescent="0.3">
      <c r="E132" s="25"/>
      <c r="F132" s="25"/>
      <c r="H132" s="25"/>
      <c r="I132" s="25"/>
      <c r="J132" s="25"/>
      <c r="K132" s="25"/>
      <c r="L132" s="25"/>
      <c r="M132" s="25"/>
      <c r="N132" s="25"/>
      <c r="P132" s="27"/>
      <c r="Q132" s="27"/>
      <c r="R132" s="27"/>
      <c r="S132" s="27"/>
      <c r="U132" s="27"/>
      <c r="V132" s="27"/>
      <c r="W132" s="27"/>
    </row>
    <row r="133" spans="5:23" ht="38.1" customHeight="1" x14ac:dyDescent="0.3">
      <c r="E133" s="25"/>
      <c r="F133" s="25"/>
      <c r="H133" s="25"/>
      <c r="I133" s="25"/>
      <c r="J133" s="25"/>
      <c r="K133" s="25"/>
      <c r="L133" s="25"/>
      <c r="M133" s="25"/>
      <c r="N133" s="25"/>
      <c r="P133" s="27"/>
      <c r="Q133" s="27"/>
      <c r="R133" s="27"/>
      <c r="S133" s="27"/>
      <c r="U133" s="27"/>
      <c r="V133" s="27"/>
      <c r="W133" s="27"/>
    </row>
    <row r="134" spans="5:23" ht="38.1" customHeight="1" x14ac:dyDescent="0.3">
      <c r="E134" s="25"/>
      <c r="F134" s="25"/>
      <c r="H134" s="25"/>
      <c r="I134" s="25"/>
      <c r="J134" s="25"/>
      <c r="K134" s="25"/>
      <c r="L134" s="25"/>
      <c r="M134" s="25"/>
      <c r="N134" s="25"/>
      <c r="P134" s="27"/>
      <c r="Q134" s="27"/>
      <c r="R134" s="27"/>
      <c r="S134" s="27"/>
      <c r="U134" s="27"/>
      <c r="V134" s="27"/>
      <c r="W134" s="27"/>
    </row>
    <row r="135" spans="5:23" ht="38.1" customHeight="1" x14ac:dyDescent="0.3">
      <c r="E135" s="25"/>
      <c r="F135" s="25"/>
      <c r="H135" s="25"/>
      <c r="I135" s="25"/>
      <c r="J135" s="25"/>
      <c r="K135" s="25"/>
      <c r="L135" s="25"/>
      <c r="M135" s="25"/>
      <c r="N135" s="25"/>
      <c r="P135" s="27"/>
      <c r="Q135" s="27"/>
      <c r="R135" s="27"/>
      <c r="S135" s="27"/>
      <c r="U135" s="27"/>
      <c r="V135" s="27"/>
      <c r="W135" s="27"/>
    </row>
    <row r="136" spans="5:23" ht="38.1" customHeight="1" x14ac:dyDescent="0.3">
      <c r="E136" s="25"/>
      <c r="F136" s="25"/>
      <c r="H136" s="25"/>
      <c r="I136" s="25"/>
      <c r="J136" s="25"/>
      <c r="K136" s="25"/>
      <c r="L136" s="25"/>
      <c r="M136" s="25"/>
      <c r="N136" s="25"/>
      <c r="P136" s="27"/>
      <c r="Q136" s="27"/>
      <c r="R136" s="27"/>
      <c r="S136" s="27"/>
      <c r="U136" s="27"/>
      <c r="V136" s="27"/>
      <c r="W136" s="27"/>
    </row>
    <row r="137" spans="5:23" ht="38.1" customHeight="1" x14ac:dyDescent="0.3">
      <c r="E137" s="25"/>
      <c r="F137" s="25"/>
      <c r="H137" s="25"/>
      <c r="I137" s="25"/>
      <c r="J137" s="25"/>
      <c r="K137" s="25"/>
      <c r="L137" s="25"/>
      <c r="M137" s="25"/>
      <c r="N137" s="25"/>
      <c r="P137" s="27"/>
      <c r="Q137" s="27"/>
      <c r="R137" s="27"/>
      <c r="S137" s="27"/>
      <c r="U137" s="27"/>
      <c r="V137" s="27"/>
      <c r="W137" s="27"/>
    </row>
    <row r="138" spans="5:23" ht="38.1" customHeight="1" x14ac:dyDescent="0.3">
      <c r="E138" s="25"/>
      <c r="F138" s="25"/>
      <c r="H138" s="25"/>
      <c r="I138" s="25"/>
      <c r="J138" s="25"/>
      <c r="K138" s="25"/>
      <c r="L138" s="25"/>
      <c r="M138" s="25"/>
      <c r="N138" s="25"/>
      <c r="P138" s="27"/>
      <c r="Q138" s="27"/>
      <c r="R138" s="27"/>
      <c r="S138" s="27"/>
      <c r="U138" s="27"/>
      <c r="V138" s="27"/>
      <c r="W138" s="27"/>
    </row>
    <row r="139" spans="5:23" ht="38.1" customHeight="1" x14ac:dyDescent="0.3">
      <c r="E139" s="25"/>
      <c r="F139" s="25"/>
      <c r="H139" s="25"/>
      <c r="I139" s="25"/>
      <c r="J139" s="25"/>
      <c r="K139" s="25"/>
      <c r="L139" s="25"/>
      <c r="M139" s="25"/>
      <c r="N139" s="25"/>
      <c r="P139" s="27"/>
      <c r="Q139" s="27"/>
      <c r="R139" s="27"/>
      <c r="S139" s="27"/>
      <c r="U139" s="27"/>
      <c r="V139" s="27"/>
      <c r="W139" s="27"/>
    </row>
    <row r="140" spans="5:23" x14ac:dyDescent="0.3">
      <c r="E140" s="25"/>
      <c r="F140" s="25"/>
      <c r="H140" s="25"/>
      <c r="I140" s="25"/>
      <c r="J140" s="25"/>
      <c r="K140" s="25"/>
      <c r="L140" s="25"/>
      <c r="M140" s="25"/>
      <c r="N140" s="25"/>
      <c r="P140" s="27"/>
      <c r="Q140" s="27"/>
      <c r="R140" s="27"/>
      <c r="S140" s="27"/>
      <c r="U140" s="27"/>
      <c r="V140" s="27"/>
      <c r="W140" s="27"/>
    </row>
    <row r="141" spans="5:23" x14ac:dyDescent="0.3">
      <c r="E141" s="25"/>
      <c r="F141" s="25"/>
      <c r="H141" s="25"/>
      <c r="I141" s="25"/>
      <c r="J141" s="25"/>
      <c r="K141" s="25"/>
      <c r="L141" s="25"/>
      <c r="M141" s="25"/>
      <c r="N141" s="25"/>
      <c r="P141" s="27"/>
      <c r="Q141" s="27"/>
      <c r="R141" s="27"/>
      <c r="S141" s="27"/>
      <c r="U141" s="27"/>
      <c r="V141" s="27"/>
      <c r="W141" s="27"/>
    </row>
    <row r="142" spans="5:23" x14ac:dyDescent="0.3">
      <c r="E142" s="25"/>
      <c r="F142" s="25"/>
      <c r="H142" s="25"/>
      <c r="I142" s="25"/>
      <c r="J142" s="25"/>
      <c r="K142" s="25"/>
      <c r="L142" s="25"/>
      <c r="M142" s="25"/>
      <c r="N142" s="25"/>
      <c r="P142" s="27"/>
      <c r="Q142" s="27"/>
      <c r="R142" s="27"/>
      <c r="S142" s="27"/>
      <c r="U142" s="27"/>
      <c r="V142" s="27"/>
      <c r="W142" s="27"/>
    </row>
    <row r="143" spans="5:23" x14ac:dyDescent="0.3">
      <c r="E143" s="25"/>
      <c r="F143" s="25"/>
      <c r="H143" s="25"/>
      <c r="I143" s="25"/>
      <c r="J143" s="25"/>
      <c r="K143" s="25"/>
      <c r="L143" s="25"/>
      <c r="M143" s="25"/>
      <c r="N143" s="25"/>
      <c r="P143" s="27"/>
      <c r="Q143" s="27"/>
      <c r="R143" s="27"/>
      <c r="S143" s="27"/>
      <c r="U143" s="27"/>
      <c r="V143" s="27"/>
      <c r="W143" s="27"/>
    </row>
    <row r="144" spans="5:23" x14ac:dyDescent="0.3">
      <c r="E144" s="25"/>
      <c r="F144" s="25"/>
      <c r="H144" s="25"/>
      <c r="I144" s="25"/>
      <c r="J144" s="25"/>
      <c r="K144" s="25"/>
      <c r="L144" s="25"/>
      <c r="M144" s="25"/>
      <c r="N144" s="25"/>
      <c r="P144" s="27"/>
      <c r="Q144" s="27"/>
      <c r="R144" s="27"/>
      <c r="S144" s="27"/>
      <c r="U144" s="27"/>
      <c r="V144" s="27"/>
      <c r="W144" s="27"/>
    </row>
    <row r="145" spans="5:23" x14ac:dyDescent="0.3">
      <c r="E145" s="25"/>
      <c r="F145" s="25"/>
      <c r="H145" s="25"/>
      <c r="I145" s="25"/>
      <c r="J145" s="25"/>
      <c r="K145" s="25"/>
      <c r="L145" s="25"/>
      <c r="M145" s="25"/>
      <c r="N145" s="25"/>
      <c r="P145" s="27"/>
      <c r="Q145" s="27"/>
      <c r="R145" s="27"/>
      <c r="S145" s="27"/>
      <c r="U145" s="27"/>
      <c r="V145" s="27"/>
      <c r="W145" s="27"/>
    </row>
    <row r="146" spans="5:23" x14ac:dyDescent="0.3">
      <c r="E146" s="25"/>
      <c r="F146" s="25"/>
      <c r="H146" s="25"/>
      <c r="I146" s="25"/>
      <c r="J146" s="25"/>
      <c r="K146" s="25"/>
      <c r="L146" s="25"/>
      <c r="M146" s="25"/>
      <c r="N146" s="25"/>
      <c r="P146" s="27"/>
      <c r="Q146" s="27"/>
      <c r="R146" s="27"/>
      <c r="S146" s="27"/>
      <c r="U146" s="27"/>
      <c r="V146" s="27"/>
      <c r="W146" s="27"/>
    </row>
    <row r="147" spans="5:23" x14ac:dyDescent="0.3">
      <c r="E147" s="25"/>
      <c r="F147" s="25"/>
      <c r="H147" s="25"/>
      <c r="I147" s="25"/>
      <c r="J147" s="25"/>
      <c r="K147" s="25"/>
      <c r="L147" s="25"/>
      <c r="M147" s="25"/>
      <c r="N147" s="25"/>
      <c r="P147" s="27"/>
      <c r="Q147" s="27"/>
      <c r="R147" s="27"/>
      <c r="S147" s="27"/>
      <c r="U147" s="27"/>
      <c r="V147" s="27"/>
      <c r="W147" s="27"/>
    </row>
    <row r="148" spans="5:23" x14ac:dyDescent="0.3">
      <c r="E148" s="25"/>
      <c r="F148" s="25"/>
      <c r="H148" s="25"/>
      <c r="I148" s="25"/>
      <c r="J148" s="25"/>
      <c r="K148" s="25"/>
      <c r="L148" s="25"/>
      <c r="M148" s="25"/>
      <c r="N148" s="25"/>
      <c r="P148" s="27"/>
      <c r="Q148" s="27"/>
      <c r="R148" s="27"/>
      <c r="S148" s="27"/>
      <c r="U148" s="27"/>
      <c r="V148" s="27"/>
      <c r="W148" s="27"/>
    </row>
    <row r="149" spans="5:23" x14ac:dyDescent="0.3">
      <c r="E149" s="25"/>
      <c r="F149" s="25"/>
      <c r="H149" s="25"/>
      <c r="I149" s="25"/>
      <c r="J149" s="25"/>
      <c r="K149" s="25"/>
      <c r="L149" s="25"/>
      <c r="M149" s="25"/>
      <c r="N149" s="25"/>
      <c r="P149" s="27"/>
      <c r="Q149" s="27"/>
      <c r="R149" s="27"/>
      <c r="S149" s="27"/>
      <c r="U149" s="27"/>
      <c r="V149" s="27"/>
      <c r="W149" s="27"/>
    </row>
    <row r="150" spans="5:23" x14ac:dyDescent="0.3">
      <c r="E150" s="25"/>
      <c r="F150" s="25"/>
      <c r="H150" s="25"/>
      <c r="I150" s="25"/>
      <c r="J150" s="25"/>
      <c r="K150" s="25"/>
      <c r="L150" s="25"/>
      <c r="M150" s="25"/>
      <c r="N150" s="25"/>
      <c r="P150" s="27"/>
      <c r="Q150" s="27"/>
      <c r="R150" s="27"/>
      <c r="S150" s="27"/>
      <c r="U150" s="27"/>
      <c r="V150" s="27"/>
      <c r="W150" s="27"/>
    </row>
    <row r="151" spans="5:23" x14ac:dyDescent="0.3">
      <c r="E151" s="25"/>
      <c r="F151" s="25"/>
      <c r="H151" s="25"/>
      <c r="I151" s="25"/>
      <c r="J151" s="25"/>
      <c r="K151" s="25"/>
      <c r="L151" s="25"/>
      <c r="M151" s="25"/>
      <c r="N151" s="25"/>
      <c r="P151" s="27"/>
      <c r="Q151" s="27"/>
      <c r="R151" s="27"/>
      <c r="S151" s="27"/>
      <c r="U151" s="27"/>
      <c r="V151" s="27"/>
      <c r="W151" s="27"/>
    </row>
    <row r="152" spans="5:23" x14ac:dyDescent="0.3">
      <c r="E152" s="25"/>
      <c r="F152" s="25"/>
      <c r="H152" s="25"/>
      <c r="I152" s="25"/>
      <c r="J152" s="25"/>
      <c r="K152" s="25"/>
      <c r="L152" s="25"/>
      <c r="M152" s="25"/>
      <c r="N152" s="25"/>
      <c r="P152" s="27"/>
      <c r="Q152" s="27"/>
      <c r="R152" s="27"/>
      <c r="S152" s="27"/>
      <c r="U152" s="27"/>
      <c r="V152" s="27"/>
      <c r="W152" s="27"/>
    </row>
    <row r="153" spans="5:23" x14ac:dyDescent="0.3">
      <c r="E153" s="25"/>
      <c r="F153" s="25"/>
      <c r="H153" s="25"/>
      <c r="I153" s="25"/>
      <c r="J153" s="25"/>
      <c r="K153" s="25"/>
      <c r="L153" s="25"/>
      <c r="M153" s="25"/>
      <c r="N153" s="25"/>
      <c r="P153" s="27"/>
      <c r="Q153" s="27"/>
      <c r="R153" s="27"/>
      <c r="S153" s="27"/>
      <c r="U153" s="27"/>
      <c r="V153" s="27"/>
      <c r="W153" s="27"/>
    </row>
    <row r="154" spans="5:23" x14ac:dyDescent="0.3">
      <c r="E154" s="25"/>
      <c r="F154" s="25"/>
      <c r="H154" s="25"/>
      <c r="I154" s="25"/>
      <c r="J154" s="25"/>
      <c r="K154" s="25"/>
      <c r="L154" s="25"/>
      <c r="M154" s="25"/>
      <c r="N154" s="25"/>
      <c r="P154" s="27"/>
      <c r="Q154" s="27"/>
      <c r="R154" s="27"/>
      <c r="S154" s="27"/>
      <c r="U154" s="27"/>
      <c r="V154" s="27"/>
      <c r="W154" s="27"/>
    </row>
    <row r="155" spans="5:23" x14ac:dyDescent="0.3">
      <c r="E155" s="25"/>
      <c r="F155" s="25"/>
      <c r="H155" s="25"/>
      <c r="I155" s="25"/>
      <c r="J155" s="25"/>
      <c r="K155" s="25"/>
      <c r="L155" s="25"/>
      <c r="M155" s="25"/>
      <c r="N155" s="25"/>
      <c r="P155" s="27"/>
      <c r="Q155" s="27"/>
      <c r="R155" s="27"/>
      <c r="S155" s="27"/>
      <c r="U155" s="27"/>
      <c r="V155" s="27"/>
      <c r="W155" s="27"/>
    </row>
    <row r="156" spans="5:23" x14ac:dyDescent="0.3">
      <c r="E156" s="25"/>
      <c r="F156" s="25"/>
      <c r="H156" s="25"/>
      <c r="I156" s="25"/>
      <c r="J156" s="25"/>
      <c r="K156" s="25"/>
      <c r="L156" s="25"/>
      <c r="M156" s="25"/>
      <c r="N156" s="25"/>
      <c r="P156" s="27"/>
      <c r="Q156" s="27"/>
      <c r="R156" s="27"/>
      <c r="S156" s="27"/>
      <c r="U156" s="27"/>
      <c r="V156" s="27"/>
      <c r="W156" s="27"/>
    </row>
    <row r="157" spans="5:23" x14ac:dyDescent="0.3">
      <c r="E157" s="25"/>
      <c r="F157" s="25"/>
      <c r="H157" s="25"/>
      <c r="I157" s="25"/>
      <c r="J157" s="25"/>
      <c r="K157" s="25"/>
      <c r="L157" s="25"/>
      <c r="M157" s="25"/>
      <c r="N157" s="25"/>
      <c r="P157" s="27"/>
      <c r="Q157" s="27"/>
      <c r="R157" s="27"/>
      <c r="S157" s="27"/>
      <c r="U157" s="27"/>
      <c r="V157" s="27"/>
      <c r="W157" s="27"/>
    </row>
    <row r="158" spans="5:23" x14ac:dyDescent="0.3">
      <c r="E158" s="25"/>
      <c r="F158" s="25"/>
      <c r="H158" s="25"/>
      <c r="I158" s="25"/>
      <c r="J158" s="25"/>
      <c r="K158" s="25"/>
      <c r="L158" s="25"/>
      <c r="M158" s="25"/>
      <c r="N158" s="25"/>
      <c r="P158" s="27"/>
      <c r="Q158" s="27"/>
      <c r="R158" s="27"/>
      <c r="S158" s="27"/>
      <c r="U158" s="27"/>
      <c r="V158" s="27"/>
      <c r="W158" s="27"/>
    </row>
    <row r="159" spans="5:23" x14ac:dyDescent="0.3">
      <c r="E159" s="25"/>
      <c r="F159" s="25"/>
      <c r="H159" s="25"/>
      <c r="I159" s="25"/>
      <c r="J159" s="25"/>
      <c r="K159" s="25"/>
      <c r="L159" s="25"/>
      <c r="M159" s="25"/>
      <c r="N159" s="25"/>
      <c r="P159" s="27"/>
      <c r="Q159" s="27"/>
      <c r="R159" s="27"/>
      <c r="S159" s="27"/>
      <c r="U159" s="27"/>
      <c r="V159" s="27"/>
      <c r="W159" s="27"/>
    </row>
    <row r="160" spans="5:23" x14ac:dyDescent="0.3">
      <c r="E160" s="25"/>
      <c r="F160" s="25"/>
      <c r="H160" s="25"/>
      <c r="I160" s="25"/>
      <c r="J160" s="25"/>
      <c r="K160" s="25"/>
      <c r="L160" s="25"/>
      <c r="M160" s="25"/>
      <c r="N160" s="25"/>
      <c r="P160" s="27"/>
      <c r="Q160" s="27"/>
      <c r="R160" s="27"/>
      <c r="S160" s="27"/>
      <c r="U160" s="27"/>
      <c r="V160" s="27"/>
      <c r="W160" s="27"/>
    </row>
    <row r="161" spans="5:23" x14ac:dyDescent="0.3">
      <c r="E161" s="25"/>
      <c r="F161" s="25"/>
      <c r="H161" s="25"/>
      <c r="I161" s="25"/>
      <c r="J161" s="25"/>
      <c r="K161" s="25"/>
      <c r="L161" s="25"/>
      <c r="M161" s="25"/>
      <c r="N161" s="25"/>
      <c r="P161" s="27"/>
      <c r="Q161" s="27"/>
      <c r="R161" s="27"/>
      <c r="S161" s="27"/>
      <c r="U161" s="27"/>
      <c r="V161" s="27"/>
      <c r="W161" s="27"/>
    </row>
    <row r="162" spans="5:23" x14ac:dyDescent="0.3">
      <c r="E162" s="25"/>
      <c r="F162" s="25"/>
      <c r="H162" s="25"/>
      <c r="I162" s="25"/>
      <c r="J162" s="25"/>
      <c r="K162" s="25"/>
      <c r="L162" s="25"/>
      <c r="M162" s="25"/>
      <c r="N162" s="25"/>
      <c r="P162" s="27"/>
      <c r="Q162" s="27"/>
      <c r="R162" s="27"/>
      <c r="S162" s="27"/>
      <c r="U162" s="27"/>
      <c r="V162" s="27"/>
      <c r="W162" s="27"/>
    </row>
    <row r="163" spans="5:23" x14ac:dyDescent="0.3">
      <c r="E163" s="25"/>
      <c r="F163" s="25"/>
      <c r="H163" s="25"/>
      <c r="I163" s="25"/>
      <c r="J163" s="25"/>
      <c r="K163" s="25"/>
      <c r="L163" s="25"/>
      <c r="M163" s="25"/>
      <c r="N163" s="25"/>
      <c r="P163" s="27"/>
      <c r="Q163" s="27"/>
      <c r="R163" s="27"/>
      <c r="S163" s="27"/>
      <c r="U163" s="27"/>
      <c r="V163" s="27"/>
      <c r="W163" s="27"/>
    </row>
    <row r="164" spans="5:23" x14ac:dyDescent="0.3">
      <c r="E164" s="25"/>
      <c r="F164" s="25"/>
      <c r="H164" s="25"/>
      <c r="I164" s="25"/>
      <c r="J164" s="25"/>
      <c r="K164" s="25"/>
      <c r="L164" s="25"/>
      <c r="M164" s="25"/>
      <c r="N164" s="25"/>
      <c r="P164" s="27"/>
      <c r="Q164" s="27"/>
      <c r="R164" s="27"/>
      <c r="S164" s="27"/>
      <c r="U164" s="27"/>
      <c r="V164" s="27"/>
      <c r="W164" s="27"/>
    </row>
    <row r="165" spans="5:23" x14ac:dyDescent="0.3">
      <c r="E165" s="25"/>
      <c r="F165" s="25"/>
      <c r="H165" s="25"/>
      <c r="I165" s="25"/>
      <c r="J165" s="25"/>
      <c r="K165" s="25"/>
      <c r="L165" s="25"/>
      <c r="M165" s="25"/>
      <c r="N165" s="25"/>
      <c r="P165" s="27"/>
      <c r="Q165" s="27"/>
      <c r="R165" s="27"/>
      <c r="S165" s="27"/>
      <c r="U165" s="27"/>
      <c r="V165" s="27"/>
      <c r="W165" s="27"/>
    </row>
    <row r="166" spans="5:23" x14ac:dyDescent="0.3">
      <c r="E166" s="25"/>
      <c r="F166" s="25"/>
      <c r="H166" s="25"/>
      <c r="I166" s="25"/>
      <c r="J166" s="25"/>
      <c r="K166" s="25"/>
      <c r="L166" s="25"/>
      <c r="M166" s="25"/>
      <c r="N166" s="25"/>
      <c r="P166" s="27"/>
      <c r="Q166" s="27"/>
      <c r="R166" s="27"/>
      <c r="S166" s="27"/>
      <c r="U166" s="27"/>
      <c r="V166" s="27"/>
      <c r="W166" s="27"/>
    </row>
    <row r="167" spans="5:23" x14ac:dyDescent="0.3">
      <c r="E167" s="25"/>
      <c r="F167" s="25"/>
      <c r="H167" s="25"/>
      <c r="I167" s="25"/>
      <c r="J167" s="25"/>
      <c r="K167" s="25"/>
      <c r="L167" s="25"/>
      <c r="M167" s="25"/>
      <c r="N167" s="25"/>
      <c r="P167" s="27"/>
      <c r="Q167" s="27"/>
      <c r="R167" s="27"/>
      <c r="S167" s="27"/>
      <c r="U167" s="27"/>
      <c r="V167" s="27"/>
      <c r="W167" s="27"/>
    </row>
    <row r="168" spans="5:23" x14ac:dyDescent="0.3">
      <c r="E168" s="25"/>
      <c r="F168" s="25"/>
      <c r="H168" s="25"/>
      <c r="I168" s="25"/>
      <c r="J168" s="25"/>
      <c r="K168" s="25"/>
      <c r="L168" s="25"/>
      <c r="M168" s="25"/>
      <c r="N168" s="25"/>
      <c r="P168" s="27"/>
      <c r="Q168" s="27"/>
      <c r="R168" s="27"/>
      <c r="S168" s="27"/>
      <c r="U168" s="27"/>
      <c r="V168" s="27"/>
      <c r="W168" s="27"/>
    </row>
    <row r="169" spans="5:23" x14ac:dyDescent="0.3">
      <c r="E169" s="25"/>
      <c r="F169" s="25"/>
      <c r="H169" s="25"/>
      <c r="I169" s="25"/>
      <c r="J169" s="25"/>
      <c r="K169" s="25"/>
      <c r="L169" s="25"/>
      <c r="M169" s="25"/>
      <c r="N169" s="25"/>
      <c r="P169" s="27"/>
      <c r="Q169" s="27"/>
      <c r="R169" s="27"/>
      <c r="S169" s="27"/>
      <c r="U169" s="27"/>
      <c r="V169" s="27"/>
      <c r="W169" s="27"/>
    </row>
    <row r="170" spans="5:23" x14ac:dyDescent="0.3">
      <c r="E170" s="25"/>
      <c r="F170" s="25"/>
      <c r="H170" s="25"/>
      <c r="I170" s="25"/>
      <c r="J170" s="25"/>
      <c r="K170" s="25"/>
      <c r="L170" s="25"/>
      <c r="M170" s="25"/>
      <c r="N170" s="25"/>
      <c r="P170" s="27"/>
      <c r="Q170" s="27"/>
      <c r="R170" s="27"/>
      <c r="S170" s="27"/>
      <c r="U170" s="27"/>
      <c r="V170" s="27"/>
      <c r="W170" s="27"/>
    </row>
    <row r="171" spans="5:23" x14ac:dyDescent="0.3">
      <c r="E171" s="25"/>
      <c r="F171" s="25"/>
      <c r="H171" s="25"/>
      <c r="I171" s="25"/>
      <c r="J171" s="25"/>
      <c r="K171" s="25"/>
      <c r="L171" s="25"/>
      <c r="M171" s="25"/>
      <c r="N171" s="25"/>
      <c r="P171" s="27"/>
      <c r="Q171" s="27"/>
      <c r="R171" s="27"/>
      <c r="S171" s="27"/>
      <c r="U171" s="27"/>
      <c r="V171" s="27"/>
      <c r="W171" s="27"/>
    </row>
    <row r="172" spans="5:23" x14ac:dyDescent="0.3">
      <c r="E172" s="25"/>
      <c r="F172" s="25"/>
      <c r="H172" s="25"/>
      <c r="I172" s="25"/>
      <c r="J172" s="25"/>
      <c r="K172" s="25"/>
      <c r="L172" s="25"/>
      <c r="M172" s="25"/>
      <c r="N172" s="25"/>
      <c r="P172" s="27"/>
      <c r="Q172" s="27"/>
      <c r="R172" s="27"/>
      <c r="S172" s="27"/>
      <c r="U172" s="27"/>
      <c r="V172" s="27"/>
      <c r="W172" s="27"/>
    </row>
    <row r="173" spans="5:23" x14ac:dyDescent="0.3">
      <c r="E173" s="25"/>
      <c r="F173" s="25"/>
      <c r="H173" s="25"/>
      <c r="I173" s="25"/>
      <c r="J173" s="25"/>
      <c r="K173" s="25"/>
      <c r="L173" s="25"/>
      <c r="M173" s="25"/>
      <c r="N173" s="25"/>
      <c r="P173" s="27"/>
      <c r="Q173" s="27"/>
      <c r="R173" s="27"/>
      <c r="S173" s="27"/>
      <c r="U173" s="27"/>
      <c r="V173" s="27"/>
      <c r="W173" s="27"/>
    </row>
    <row r="174" spans="5:23" x14ac:dyDescent="0.3">
      <c r="E174" s="25"/>
      <c r="F174" s="25"/>
      <c r="H174" s="25"/>
      <c r="I174" s="25"/>
      <c r="J174" s="25"/>
      <c r="K174" s="25"/>
      <c r="L174" s="25"/>
      <c r="M174" s="25"/>
      <c r="N174" s="25"/>
      <c r="P174" s="27"/>
      <c r="Q174" s="27"/>
      <c r="R174" s="27"/>
      <c r="S174" s="27"/>
      <c r="U174" s="27"/>
      <c r="V174" s="27"/>
      <c r="W174" s="27"/>
    </row>
    <row r="175" spans="5:23" x14ac:dyDescent="0.3">
      <c r="E175" s="25"/>
      <c r="F175" s="25"/>
      <c r="H175" s="25"/>
      <c r="I175" s="25"/>
      <c r="J175" s="25"/>
      <c r="K175" s="25"/>
      <c r="L175" s="25"/>
      <c r="M175" s="25"/>
      <c r="N175" s="25"/>
      <c r="P175" s="27"/>
      <c r="Q175" s="27"/>
      <c r="R175" s="27"/>
      <c r="S175" s="27"/>
      <c r="U175" s="27"/>
      <c r="V175" s="27"/>
      <c r="W175" s="27"/>
    </row>
    <row r="176" spans="5:23" x14ac:dyDescent="0.3">
      <c r="E176" s="25"/>
      <c r="F176" s="25"/>
      <c r="H176" s="25"/>
      <c r="I176" s="25"/>
      <c r="J176" s="25"/>
      <c r="K176" s="25"/>
      <c r="L176" s="25"/>
      <c r="M176" s="25"/>
      <c r="N176" s="25"/>
      <c r="P176" s="27"/>
      <c r="Q176" s="27"/>
      <c r="R176" s="27"/>
      <c r="S176" s="27"/>
      <c r="U176" s="27"/>
      <c r="V176" s="27"/>
      <c r="W176" s="27"/>
    </row>
    <row r="177" spans="5:23" x14ac:dyDescent="0.3">
      <c r="E177" s="25"/>
      <c r="F177" s="25"/>
      <c r="H177" s="25"/>
      <c r="I177" s="25"/>
      <c r="J177" s="25"/>
      <c r="K177" s="25"/>
      <c r="L177" s="25"/>
      <c r="M177" s="25"/>
      <c r="N177" s="25"/>
      <c r="P177" s="27"/>
      <c r="Q177" s="27"/>
      <c r="R177" s="27"/>
      <c r="S177" s="27"/>
      <c r="U177" s="27"/>
      <c r="V177" s="27"/>
      <c r="W177" s="27"/>
    </row>
    <row r="178" spans="5:23" x14ac:dyDescent="0.3">
      <c r="E178" s="25"/>
      <c r="F178" s="25"/>
      <c r="H178" s="25"/>
      <c r="I178" s="25"/>
      <c r="J178" s="25"/>
      <c r="K178" s="25"/>
      <c r="L178" s="25"/>
      <c r="M178" s="25"/>
      <c r="N178" s="25"/>
      <c r="P178" s="27"/>
      <c r="Q178" s="27"/>
      <c r="R178" s="27"/>
      <c r="S178" s="27"/>
      <c r="U178" s="27"/>
      <c r="V178" s="27"/>
      <c r="W178" s="27"/>
    </row>
    <row r="179" spans="5:23" x14ac:dyDescent="0.3">
      <c r="E179" s="25"/>
      <c r="F179" s="25"/>
      <c r="H179" s="25"/>
      <c r="I179" s="25"/>
      <c r="J179" s="25"/>
      <c r="K179" s="25"/>
      <c r="L179" s="25"/>
      <c r="M179" s="25"/>
      <c r="N179" s="25"/>
      <c r="P179" s="27"/>
      <c r="Q179" s="27"/>
      <c r="R179" s="27"/>
      <c r="S179" s="27"/>
      <c r="U179" s="27"/>
      <c r="V179" s="27"/>
      <c r="W179" s="27"/>
    </row>
    <row r="180" spans="5:23" x14ac:dyDescent="0.3">
      <c r="E180" s="25"/>
      <c r="F180" s="25"/>
      <c r="H180" s="25"/>
      <c r="I180" s="25"/>
      <c r="J180" s="25"/>
      <c r="K180" s="25"/>
      <c r="L180" s="25"/>
      <c r="M180" s="25"/>
      <c r="N180" s="25"/>
      <c r="P180" s="27"/>
      <c r="Q180" s="27"/>
      <c r="R180" s="27"/>
      <c r="S180" s="27"/>
      <c r="U180" s="27"/>
      <c r="V180" s="27"/>
      <c r="W180" s="27"/>
    </row>
    <row r="181" spans="5:23" x14ac:dyDescent="0.3">
      <c r="E181" s="25"/>
      <c r="F181" s="25"/>
      <c r="H181" s="25"/>
      <c r="I181" s="25"/>
      <c r="J181" s="25"/>
      <c r="K181" s="25"/>
      <c r="L181" s="25"/>
      <c r="M181" s="25"/>
      <c r="N181" s="25"/>
      <c r="P181" s="27"/>
      <c r="Q181" s="27"/>
      <c r="R181" s="27"/>
      <c r="S181" s="27"/>
      <c r="U181" s="27"/>
      <c r="V181" s="27"/>
      <c r="W181" s="27"/>
    </row>
    <row r="182" spans="5:23" x14ac:dyDescent="0.3">
      <c r="E182" s="25"/>
      <c r="F182" s="25"/>
      <c r="H182" s="25"/>
      <c r="I182" s="25"/>
      <c r="J182" s="25"/>
      <c r="K182" s="25"/>
      <c r="L182" s="25"/>
      <c r="M182" s="25"/>
      <c r="N182" s="25"/>
      <c r="P182" s="27"/>
      <c r="Q182" s="27"/>
      <c r="R182" s="27"/>
      <c r="S182" s="27"/>
      <c r="U182" s="27"/>
      <c r="V182" s="27"/>
      <c r="W182" s="27"/>
    </row>
    <row r="183" spans="5:23" x14ac:dyDescent="0.3">
      <c r="E183" s="25"/>
      <c r="F183" s="25"/>
      <c r="H183" s="25"/>
      <c r="I183" s="25"/>
      <c r="J183" s="25"/>
      <c r="K183" s="25"/>
      <c r="L183" s="25"/>
      <c r="M183" s="25"/>
      <c r="N183" s="25"/>
      <c r="P183" s="27"/>
      <c r="Q183" s="27"/>
      <c r="R183" s="27"/>
      <c r="S183" s="27"/>
      <c r="U183" s="27"/>
      <c r="V183" s="27"/>
      <c r="W183" s="27"/>
    </row>
    <row r="184" spans="5:23" x14ac:dyDescent="0.3">
      <c r="E184" s="25"/>
      <c r="F184" s="25"/>
      <c r="H184" s="25"/>
      <c r="I184" s="25"/>
      <c r="J184" s="25"/>
      <c r="K184" s="25"/>
      <c r="L184" s="25"/>
      <c r="M184" s="25"/>
      <c r="N184" s="25"/>
      <c r="P184" s="27"/>
      <c r="Q184" s="27"/>
      <c r="R184" s="27"/>
      <c r="S184" s="27"/>
      <c r="U184" s="27"/>
      <c r="V184" s="27"/>
      <c r="W184" s="27"/>
    </row>
    <row r="185" spans="5:23" x14ac:dyDescent="0.3">
      <c r="E185" s="25"/>
      <c r="F185" s="25"/>
      <c r="H185" s="25"/>
      <c r="I185" s="25"/>
      <c r="J185" s="25"/>
      <c r="K185" s="25"/>
      <c r="L185" s="25"/>
      <c r="M185" s="25"/>
      <c r="N185" s="25"/>
      <c r="P185" s="27"/>
      <c r="Q185" s="27"/>
      <c r="R185" s="27"/>
      <c r="S185" s="27"/>
      <c r="U185" s="27"/>
      <c r="V185" s="27"/>
      <c r="W185" s="27"/>
    </row>
    <row r="186" spans="5:23" x14ac:dyDescent="0.3">
      <c r="E186" s="25"/>
      <c r="F186" s="25"/>
      <c r="H186" s="25"/>
      <c r="I186" s="25"/>
      <c r="J186" s="25"/>
      <c r="K186" s="25"/>
      <c r="L186" s="25"/>
      <c r="M186" s="25"/>
      <c r="N186" s="25"/>
      <c r="P186" s="27"/>
      <c r="Q186" s="27"/>
      <c r="R186" s="27"/>
      <c r="S186" s="27"/>
      <c r="U186" s="27"/>
      <c r="V186" s="27"/>
      <c r="W186" s="27"/>
    </row>
    <row r="187" spans="5:23" x14ac:dyDescent="0.3">
      <c r="E187" s="25"/>
      <c r="F187" s="25"/>
      <c r="H187" s="25"/>
      <c r="I187" s="25"/>
      <c r="J187" s="25"/>
      <c r="K187" s="25"/>
      <c r="L187" s="25"/>
      <c r="M187" s="25"/>
      <c r="N187" s="25"/>
      <c r="P187" s="27"/>
      <c r="Q187" s="27"/>
      <c r="R187" s="27"/>
      <c r="S187" s="27"/>
      <c r="U187" s="27"/>
      <c r="V187" s="27"/>
      <c r="W187" s="27"/>
    </row>
    <row r="188" spans="5:23" x14ac:dyDescent="0.3">
      <c r="E188" s="25"/>
      <c r="F188" s="25"/>
      <c r="H188" s="25"/>
      <c r="I188" s="25"/>
      <c r="J188" s="25"/>
      <c r="K188" s="25"/>
      <c r="L188" s="25"/>
      <c r="M188" s="25"/>
      <c r="N188" s="25"/>
      <c r="P188" s="27"/>
      <c r="Q188" s="27"/>
      <c r="R188" s="27"/>
      <c r="S188" s="27"/>
      <c r="U188" s="27"/>
      <c r="V188" s="27"/>
      <c r="W188" s="27"/>
    </row>
    <row r="189" spans="5:23" x14ac:dyDescent="0.3">
      <c r="E189" s="25"/>
      <c r="F189" s="25"/>
      <c r="H189" s="25"/>
      <c r="I189" s="25"/>
      <c r="J189" s="25"/>
      <c r="K189" s="25"/>
      <c r="L189" s="25"/>
      <c r="M189" s="25"/>
      <c r="N189" s="25"/>
      <c r="P189" s="27"/>
      <c r="Q189" s="27"/>
      <c r="R189" s="27"/>
      <c r="S189" s="27"/>
      <c r="U189" s="27"/>
      <c r="V189" s="27"/>
      <c r="W189" s="27"/>
    </row>
    <row r="190" spans="5:23" x14ac:dyDescent="0.3">
      <c r="E190" s="25"/>
      <c r="F190" s="25"/>
      <c r="H190" s="25"/>
      <c r="I190" s="25"/>
      <c r="J190" s="25"/>
      <c r="K190" s="25"/>
      <c r="L190" s="25"/>
      <c r="M190" s="25"/>
      <c r="N190" s="25"/>
      <c r="P190" s="27"/>
      <c r="Q190" s="27"/>
      <c r="R190" s="27"/>
      <c r="S190" s="27"/>
      <c r="U190" s="27"/>
      <c r="V190" s="27"/>
      <c r="W190" s="27"/>
    </row>
    <row r="191" spans="5:23" x14ac:dyDescent="0.3">
      <c r="E191" s="25"/>
      <c r="F191" s="25"/>
      <c r="H191" s="25"/>
      <c r="I191" s="25"/>
      <c r="J191" s="25"/>
      <c r="K191" s="25"/>
      <c r="L191" s="25"/>
      <c r="M191" s="25"/>
      <c r="N191" s="25"/>
      <c r="P191" s="27"/>
      <c r="Q191" s="27"/>
      <c r="R191" s="27"/>
      <c r="S191" s="27"/>
      <c r="U191" s="27"/>
      <c r="V191" s="27"/>
      <c r="W191" s="27"/>
    </row>
    <row r="192" spans="5:23" x14ac:dyDescent="0.3">
      <c r="E192" s="25"/>
      <c r="F192" s="25"/>
      <c r="H192" s="25"/>
      <c r="I192" s="25"/>
      <c r="J192" s="25"/>
      <c r="K192" s="25"/>
      <c r="L192" s="25"/>
      <c r="M192" s="25"/>
      <c r="N192" s="25"/>
      <c r="P192" s="27"/>
      <c r="Q192" s="27"/>
      <c r="R192" s="27"/>
      <c r="S192" s="27"/>
      <c r="U192" s="27"/>
      <c r="V192" s="27"/>
      <c r="W192" s="27"/>
    </row>
    <row r="193" spans="5:23" x14ac:dyDescent="0.3">
      <c r="E193" s="25"/>
      <c r="F193" s="25"/>
      <c r="H193" s="25"/>
      <c r="I193" s="25"/>
      <c r="J193" s="25"/>
      <c r="K193" s="25"/>
      <c r="L193" s="25"/>
      <c r="M193" s="25"/>
      <c r="N193" s="25"/>
      <c r="P193" s="27"/>
      <c r="Q193" s="27"/>
      <c r="R193" s="27"/>
      <c r="S193" s="27"/>
      <c r="U193" s="27"/>
      <c r="V193" s="27"/>
      <c r="W193" s="27"/>
    </row>
    <row r="194" spans="5:23" x14ac:dyDescent="0.3">
      <c r="E194" s="25"/>
      <c r="F194" s="25"/>
      <c r="H194" s="25"/>
      <c r="I194" s="25"/>
      <c r="J194" s="25"/>
      <c r="K194" s="25"/>
      <c r="L194" s="25"/>
      <c r="M194" s="25"/>
      <c r="N194" s="25"/>
      <c r="P194" s="27"/>
      <c r="Q194" s="27"/>
      <c r="R194" s="27"/>
      <c r="S194" s="27"/>
      <c r="U194" s="27"/>
      <c r="V194" s="27"/>
      <c r="W194" s="27"/>
    </row>
    <row r="195" spans="5:23" x14ac:dyDescent="0.3">
      <c r="E195" s="25"/>
      <c r="F195" s="25"/>
      <c r="H195" s="25"/>
      <c r="I195" s="25"/>
      <c r="J195" s="25"/>
      <c r="K195" s="25"/>
      <c r="L195" s="25"/>
      <c r="M195" s="25"/>
      <c r="N195" s="25"/>
      <c r="P195" s="27"/>
      <c r="Q195" s="27"/>
      <c r="R195" s="27"/>
      <c r="S195" s="27"/>
      <c r="U195" s="27"/>
      <c r="V195" s="27"/>
      <c r="W195" s="27"/>
    </row>
    <row r="196" spans="5:23" x14ac:dyDescent="0.3">
      <c r="E196" s="25"/>
      <c r="F196" s="25"/>
      <c r="H196" s="25"/>
      <c r="I196" s="25"/>
      <c r="J196" s="25"/>
      <c r="K196" s="25"/>
      <c r="L196" s="25"/>
      <c r="M196" s="25"/>
      <c r="N196" s="25"/>
      <c r="P196" s="27"/>
      <c r="Q196" s="27"/>
      <c r="R196" s="27"/>
      <c r="S196" s="27"/>
      <c r="U196" s="27"/>
      <c r="V196" s="27"/>
      <c r="W196" s="27"/>
    </row>
    <row r="197" spans="5:23" x14ac:dyDescent="0.3">
      <c r="E197" s="25"/>
      <c r="F197" s="25"/>
      <c r="H197" s="25"/>
      <c r="I197" s="25"/>
      <c r="J197" s="25"/>
      <c r="K197" s="25"/>
      <c r="L197" s="25"/>
      <c r="M197" s="25"/>
      <c r="N197" s="25"/>
      <c r="P197" s="27"/>
      <c r="Q197" s="27"/>
      <c r="R197" s="27"/>
      <c r="S197" s="27"/>
      <c r="U197" s="27"/>
      <c r="V197" s="27"/>
      <c r="W197" s="27"/>
    </row>
    <row r="198" spans="5:23" x14ac:dyDescent="0.3">
      <c r="E198" s="25"/>
      <c r="F198" s="25"/>
      <c r="H198" s="25"/>
      <c r="I198" s="25"/>
      <c r="J198" s="25"/>
      <c r="K198" s="25"/>
      <c r="L198" s="25"/>
      <c r="M198" s="25"/>
      <c r="N198" s="25"/>
      <c r="P198" s="27"/>
      <c r="Q198" s="27"/>
      <c r="R198" s="27"/>
      <c r="S198" s="27"/>
      <c r="U198" s="27"/>
      <c r="V198" s="27"/>
      <c r="W198" s="27"/>
    </row>
    <row r="199" spans="5:23" x14ac:dyDescent="0.3">
      <c r="E199" s="25"/>
      <c r="F199" s="25"/>
      <c r="H199" s="25"/>
      <c r="I199" s="25"/>
      <c r="J199" s="25"/>
      <c r="K199" s="25"/>
      <c r="L199" s="25"/>
      <c r="M199" s="25"/>
      <c r="N199" s="25"/>
      <c r="P199" s="27"/>
      <c r="Q199" s="27"/>
      <c r="R199" s="27"/>
      <c r="S199" s="27"/>
      <c r="U199" s="27"/>
      <c r="V199" s="27"/>
      <c r="W199" s="27"/>
    </row>
    <row r="200" spans="5:23" x14ac:dyDescent="0.3">
      <c r="E200" s="25"/>
      <c r="F200" s="25"/>
      <c r="H200" s="25"/>
      <c r="I200" s="25"/>
      <c r="J200" s="25"/>
      <c r="K200" s="25"/>
      <c r="L200" s="25"/>
      <c r="M200" s="25"/>
      <c r="N200" s="25"/>
      <c r="P200" s="27"/>
      <c r="Q200" s="27"/>
      <c r="R200" s="27"/>
      <c r="S200" s="27"/>
      <c r="U200" s="27"/>
      <c r="V200" s="27"/>
      <c r="W200" s="27"/>
    </row>
    <row r="201" spans="5:23" x14ac:dyDescent="0.3">
      <c r="E201" s="25"/>
      <c r="F201" s="25"/>
      <c r="H201" s="25"/>
      <c r="I201" s="25"/>
      <c r="J201" s="25"/>
      <c r="K201" s="25"/>
      <c r="L201" s="25"/>
      <c r="M201" s="25"/>
      <c r="N201" s="25"/>
      <c r="P201" s="27"/>
      <c r="Q201" s="27"/>
      <c r="R201" s="27"/>
      <c r="S201" s="27"/>
      <c r="U201" s="27"/>
      <c r="V201" s="27"/>
      <c r="W201" s="27"/>
    </row>
    <row r="202" spans="5:23" x14ac:dyDescent="0.3">
      <c r="E202" s="25"/>
      <c r="F202" s="25"/>
      <c r="H202" s="25"/>
      <c r="I202" s="25"/>
      <c r="J202" s="25"/>
      <c r="K202" s="25"/>
      <c r="L202" s="25"/>
      <c r="M202" s="25"/>
      <c r="N202" s="25"/>
      <c r="P202" s="27"/>
      <c r="Q202" s="27"/>
      <c r="R202" s="27"/>
      <c r="S202" s="27"/>
      <c r="U202" s="27"/>
      <c r="V202" s="27"/>
      <c r="W202" s="27"/>
    </row>
    <row r="203" spans="5:23" x14ac:dyDescent="0.3">
      <c r="E203" s="25"/>
      <c r="F203" s="25"/>
      <c r="H203" s="25"/>
      <c r="I203" s="25"/>
      <c r="J203" s="25"/>
      <c r="K203" s="25"/>
      <c r="L203" s="25"/>
      <c r="M203" s="25"/>
      <c r="N203" s="25"/>
      <c r="P203" s="27"/>
      <c r="Q203" s="27"/>
      <c r="R203" s="27"/>
      <c r="S203" s="27"/>
      <c r="U203" s="27"/>
      <c r="V203" s="27"/>
      <c r="W203" s="27"/>
    </row>
    <row r="204" spans="5:23" x14ac:dyDescent="0.3">
      <c r="E204" s="25"/>
      <c r="F204" s="25"/>
      <c r="H204" s="25"/>
      <c r="I204" s="25"/>
      <c r="J204" s="25"/>
      <c r="K204" s="25"/>
      <c r="L204" s="25"/>
      <c r="M204" s="25"/>
      <c r="N204" s="25"/>
      <c r="P204" s="27"/>
      <c r="Q204" s="27"/>
      <c r="R204" s="27"/>
      <c r="S204" s="27"/>
      <c r="U204" s="27"/>
      <c r="V204" s="27"/>
      <c r="W204" s="27"/>
    </row>
    <row r="205" spans="5:23" x14ac:dyDescent="0.3">
      <c r="E205" s="25"/>
      <c r="F205" s="25"/>
      <c r="H205" s="25"/>
      <c r="I205" s="25"/>
      <c r="J205" s="25"/>
      <c r="K205" s="25"/>
      <c r="L205" s="25"/>
      <c r="M205" s="25"/>
      <c r="N205" s="25"/>
      <c r="P205" s="27"/>
      <c r="Q205" s="27"/>
      <c r="R205" s="27"/>
      <c r="S205" s="27"/>
      <c r="U205" s="27"/>
      <c r="V205" s="27"/>
      <c r="W205" s="27"/>
    </row>
    <row r="206" spans="5:23" x14ac:dyDescent="0.3">
      <c r="E206" s="25"/>
      <c r="F206" s="25"/>
      <c r="H206" s="25"/>
      <c r="I206" s="25"/>
      <c r="J206" s="25"/>
      <c r="K206" s="25"/>
      <c r="L206" s="25"/>
      <c r="M206" s="25"/>
      <c r="N206" s="25"/>
      <c r="P206" s="27"/>
      <c r="Q206" s="27"/>
      <c r="R206" s="27"/>
      <c r="S206" s="27"/>
      <c r="U206" s="27"/>
      <c r="V206" s="27"/>
      <c r="W206" s="27"/>
    </row>
    <row r="207" spans="5:23" x14ac:dyDescent="0.3">
      <c r="E207" s="25"/>
      <c r="F207" s="25"/>
      <c r="H207" s="25"/>
      <c r="I207" s="25"/>
      <c r="J207" s="25"/>
      <c r="K207" s="25"/>
      <c r="L207" s="25"/>
      <c r="M207" s="25"/>
      <c r="N207" s="25"/>
      <c r="P207" s="27"/>
      <c r="Q207" s="27"/>
      <c r="R207" s="27"/>
      <c r="S207" s="27"/>
      <c r="U207" s="27"/>
      <c r="V207" s="27"/>
      <c r="W207" s="27"/>
    </row>
    <row r="208" spans="5:23" x14ac:dyDescent="0.3">
      <c r="E208" s="25"/>
      <c r="F208" s="25"/>
      <c r="H208" s="25"/>
      <c r="I208" s="25"/>
      <c r="J208" s="25"/>
      <c r="K208" s="25"/>
      <c r="L208" s="25"/>
      <c r="M208" s="25"/>
      <c r="N208" s="25"/>
      <c r="P208" s="27"/>
      <c r="Q208" s="27"/>
      <c r="R208" s="27"/>
      <c r="S208" s="27"/>
      <c r="U208" s="27"/>
      <c r="V208" s="27"/>
      <c r="W208" s="27"/>
    </row>
    <row r="209" spans="5:23" x14ac:dyDescent="0.3">
      <c r="E209" s="25"/>
      <c r="F209" s="25"/>
      <c r="H209" s="25"/>
      <c r="I209" s="25"/>
      <c r="J209" s="25"/>
      <c r="K209" s="25"/>
      <c r="L209" s="25"/>
      <c r="M209" s="25"/>
      <c r="N209" s="25"/>
      <c r="P209" s="27"/>
      <c r="Q209" s="27"/>
      <c r="R209" s="27"/>
      <c r="S209" s="27"/>
      <c r="U209" s="27"/>
      <c r="V209" s="27"/>
      <c r="W209" s="27"/>
    </row>
    <row r="210" spans="5:23" x14ac:dyDescent="0.3">
      <c r="E210" s="25"/>
      <c r="F210" s="25"/>
      <c r="H210" s="25"/>
      <c r="I210" s="25"/>
      <c r="J210" s="25"/>
      <c r="K210" s="25"/>
      <c r="L210" s="25"/>
      <c r="M210" s="25"/>
      <c r="N210" s="25"/>
      <c r="P210" s="27"/>
      <c r="Q210" s="27"/>
      <c r="R210" s="27"/>
      <c r="S210" s="27"/>
      <c r="U210" s="27"/>
      <c r="V210" s="27"/>
      <c r="W210" s="27"/>
    </row>
    <row r="211" spans="5:23" x14ac:dyDescent="0.3">
      <c r="E211" s="25"/>
      <c r="F211" s="25"/>
      <c r="H211" s="25"/>
      <c r="I211" s="25"/>
      <c r="J211" s="25"/>
      <c r="K211" s="25"/>
      <c r="L211" s="25"/>
      <c r="M211" s="25"/>
      <c r="N211" s="25"/>
      <c r="P211" s="27"/>
      <c r="Q211" s="27"/>
      <c r="R211" s="27"/>
      <c r="S211" s="27"/>
      <c r="U211" s="27"/>
      <c r="V211" s="27"/>
      <c r="W211" s="27"/>
    </row>
    <row r="212" spans="5:23" x14ac:dyDescent="0.3">
      <c r="E212" s="25"/>
      <c r="F212" s="25"/>
      <c r="H212" s="25"/>
      <c r="I212" s="25"/>
      <c r="J212" s="25"/>
      <c r="K212" s="25"/>
      <c r="L212" s="25"/>
      <c r="M212" s="25"/>
      <c r="N212" s="25"/>
      <c r="P212" s="27"/>
      <c r="Q212" s="27"/>
      <c r="R212" s="27"/>
      <c r="S212" s="27"/>
      <c r="U212" s="27"/>
      <c r="V212" s="27"/>
      <c r="W212" s="27"/>
    </row>
    <row r="213" spans="5:23" x14ac:dyDescent="0.3">
      <c r="E213" s="25"/>
      <c r="F213" s="25"/>
      <c r="H213" s="25"/>
      <c r="I213" s="25"/>
      <c r="J213" s="25"/>
      <c r="K213" s="25"/>
      <c r="L213" s="25"/>
      <c r="M213" s="25"/>
      <c r="N213" s="25"/>
      <c r="P213" s="27"/>
      <c r="Q213" s="27"/>
      <c r="R213" s="27"/>
      <c r="S213" s="27"/>
      <c r="U213" s="27"/>
      <c r="V213" s="27"/>
      <c r="W213" s="27"/>
    </row>
    <row r="214" spans="5:23" x14ac:dyDescent="0.3">
      <c r="E214" s="25"/>
      <c r="F214" s="25"/>
      <c r="H214" s="25"/>
      <c r="I214" s="25"/>
      <c r="J214" s="25"/>
      <c r="K214" s="25"/>
      <c r="L214" s="25"/>
      <c r="M214" s="25"/>
      <c r="N214" s="25"/>
      <c r="P214" s="27"/>
      <c r="Q214" s="27"/>
      <c r="R214" s="27"/>
      <c r="S214" s="27"/>
      <c r="U214" s="27"/>
      <c r="V214" s="27"/>
      <c r="W214" s="27"/>
    </row>
    <row r="215" spans="5:23" x14ac:dyDescent="0.3">
      <c r="E215" s="25"/>
      <c r="F215" s="25"/>
      <c r="H215" s="25"/>
      <c r="I215" s="25"/>
      <c r="J215" s="25"/>
      <c r="K215" s="25"/>
      <c r="L215" s="25"/>
      <c r="M215" s="25"/>
      <c r="N215" s="25"/>
      <c r="P215" s="27"/>
      <c r="Q215" s="27"/>
      <c r="R215" s="27"/>
      <c r="S215" s="27"/>
      <c r="U215" s="27"/>
      <c r="V215" s="27"/>
      <c r="W215" s="27"/>
    </row>
    <row r="216" spans="5:23" x14ac:dyDescent="0.3">
      <c r="E216" s="25"/>
      <c r="F216" s="25"/>
      <c r="H216" s="25"/>
      <c r="I216" s="25"/>
      <c r="J216" s="25"/>
      <c r="K216" s="25"/>
      <c r="L216" s="25"/>
      <c r="M216" s="25"/>
      <c r="N216" s="25"/>
      <c r="P216" s="27"/>
      <c r="Q216" s="27"/>
      <c r="R216" s="27"/>
      <c r="S216" s="27"/>
      <c r="U216" s="27"/>
      <c r="V216" s="27"/>
      <c r="W216" s="27"/>
    </row>
    <row r="217" spans="5:23" x14ac:dyDescent="0.3">
      <c r="E217" s="25"/>
      <c r="F217" s="25"/>
      <c r="H217" s="25"/>
      <c r="I217" s="25"/>
      <c r="J217" s="25"/>
      <c r="K217" s="25"/>
      <c r="L217" s="25"/>
      <c r="M217" s="25"/>
      <c r="N217" s="25"/>
      <c r="P217" s="27"/>
      <c r="Q217" s="27"/>
      <c r="R217" s="27"/>
      <c r="S217" s="27"/>
      <c r="U217" s="27"/>
      <c r="V217" s="27"/>
      <c r="W217" s="27"/>
    </row>
    <row r="218" spans="5:23" x14ac:dyDescent="0.3">
      <c r="E218" s="25"/>
      <c r="F218" s="25"/>
      <c r="H218" s="25"/>
      <c r="I218" s="25"/>
      <c r="J218" s="25"/>
      <c r="K218" s="25"/>
      <c r="L218" s="25"/>
      <c r="M218" s="25"/>
      <c r="N218" s="25"/>
      <c r="P218" s="27"/>
      <c r="Q218" s="27"/>
      <c r="R218" s="27"/>
      <c r="S218" s="27"/>
      <c r="U218" s="27"/>
      <c r="V218" s="27"/>
      <c r="W218" s="27"/>
    </row>
    <row r="219" spans="5:23" x14ac:dyDescent="0.3">
      <c r="E219" s="25"/>
      <c r="F219" s="25"/>
      <c r="H219" s="25"/>
      <c r="I219" s="25"/>
      <c r="J219" s="25"/>
      <c r="K219" s="25"/>
      <c r="L219" s="25"/>
      <c r="M219" s="25"/>
      <c r="N219" s="25"/>
      <c r="P219" s="27"/>
      <c r="Q219" s="27"/>
      <c r="R219" s="27"/>
      <c r="S219" s="27"/>
      <c r="U219" s="27"/>
      <c r="V219" s="27"/>
      <c r="W219" s="27"/>
    </row>
    <row r="220" spans="5:23" x14ac:dyDescent="0.3">
      <c r="E220" s="25"/>
      <c r="F220" s="25"/>
      <c r="H220" s="25"/>
      <c r="I220" s="25"/>
      <c r="J220" s="25"/>
      <c r="K220" s="25"/>
      <c r="L220" s="25"/>
      <c r="M220" s="25"/>
      <c r="N220" s="25"/>
      <c r="P220" s="27"/>
      <c r="Q220" s="27"/>
      <c r="R220" s="27"/>
      <c r="S220" s="27"/>
      <c r="U220" s="27"/>
      <c r="V220" s="27"/>
      <c r="W220" s="27"/>
    </row>
    <row r="221" spans="5:23" x14ac:dyDescent="0.3">
      <c r="E221" s="25"/>
      <c r="F221" s="25"/>
      <c r="H221" s="25"/>
      <c r="I221" s="25"/>
      <c r="J221" s="25"/>
      <c r="K221" s="25"/>
      <c r="L221" s="25"/>
      <c r="M221" s="25"/>
      <c r="N221" s="25"/>
      <c r="P221" s="27"/>
      <c r="Q221" s="27"/>
      <c r="R221" s="27"/>
      <c r="S221" s="27"/>
      <c r="U221" s="27"/>
      <c r="V221" s="27"/>
      <c r="W221" s="27"/>
    </row>
    <row r="222" spans="5:23" x14ac:dyDescent="0.3">
      <c r="E222" s="25"/>
      <c r="F222" s="25"/>
      <c r="H222" s="25"/>
      <c r="I222" s="25"/>
      <c r="J222" s="25"/>
      <c r="K222" s="25"/>
      <c r="L222" s="25"/>
      <c r="M222" s="25"/>
      <c r="N222" s="25"/>
      <c r="P222" s="27"/>
      <c r="Q222" s="27"/>
      <c r="R222" s="27"/>
      <c r="S222" s="27"/>
      <c r="U222" s="27"/>
      <c r="V222" s="27"/>
      <c r="W222" s="27"/>
    </row>
    <row r="223" spans="5:23" x14ac:dyDescent="0.3">
      <c r="E223" s="25"/>
      <c r="F223" s="25"/>
      <c r="H223" s="25"/>
      <c r="I223" s="25"/>
      <c r="J223" s="25"/>
      <c r="K223" s="25"/>
      <c r="L223" s="25"/>
      <c r="M223" s="25"/>
      <c r="N223" s="25"/>
      <c r="P223" s="27"/>
      <c r="Q223" s="27"/>
      <c r="R223" s="27"/>
      <c r="S223" s="27"/>
      <c r="U223" s="27"/>
      <c r="V223" s="27"/>
      <c r="W223" s="27"/>
    </row>
    <row r="224" spans="5:23" x14ac:dyDescent="0.3">
      <c r="E224" s="25"/>
      <c r="F224" s="25"/>
      <c r="H224" s="25"/>
      <c r="I224" s="25"/>
      <c r="J224" s="25"/>
      <c r="K224" s="25"/>
      <c r="L224" s="25"/>
      <c r="M224" s="25"/>
      <c r="N224" s="25"/>
      <c r="P224" s="27"/>
      <c r="Q224" s="27"/>
      <c r="R224" s="27"/>
      <c r="S224" s="27"/>
      <c r="U224" s="27"/>
      <c r="V224" s="27"/>
      <c r="W224" s="27"/>
    </row>
    <row r="225" spans="5:23" x14ac:dyDescent="0.3">
      <c r="E225" s="25"/>
      <c r="F225" s="25"/>
      <c r="H225" s="25"/>
      <c r="I225" s="25"/>
      <c r="J225" s="25"/>
      <c r="K225" s="25"/>
      <c r="L225" s="25"/>
      <c r="M225" s="25"/>
      <c r="N225" s="25"/>
      <c r="P225" s="27"/>
      <c r="Q225" s="27"/>
      <c r="R225" s="27"/>
      <c r="S225" s="27"/>
      <c r="U225" s="27"/>
      <c r="V225" s="27"/>
      <c r="W225" s="27"/>
    </row>
    <row r="226" spans="5:23" x14ac:dyDescent="0.3">
      <c r="E226" s="25"/>
      <c r="F226" s="25"/>
      <c r="H226" s="25"/>
      <c r="I226" s="25"/>
      <c r="J226" s="25"/>
      <c r="K226" s="25"/>
      <c r="L226" s="25"/>
      <c r="M226" s="25"/>
      <c r="N226" s="25"/>
      <c r="P226" s="27"/>
      <c r="Q226" s="27"/>
      <c r="R226" s="27"/>
      <c r="S226" s="27"/>
      <c r="U226" s="27"/>
      <c r="V226" s="27"/>
      <c r="W226" s="27"/>
    </row>
    <row r="227" spans="5:23" x14ac:dyDescent="0.3">
      <c r="E227" s="25"/>
      <c r="F227" s="25"/>
      <c r="H227" s="25"/>
      <c r="I227" s="25"/>
      <c r="J227" s="25"/>
      <c r="K227" s="25"/>
      <c r="L227" s="25"/>
      <c r="M227" s="25"/>
      <c r="N227" s="25"/>
      <c r="P227" s="27"/>
      <c r="Q227" s="27"/>
      <c r="R227" s="27"/>
      <c r="S227" s="27"/>
      <c r="U227" s="27"/>
      <c r="V227" s="27"/>
      <c r="W227" s="27"/>
    </row>
    <row r="228" spans="5:23" x14ac:dyDescent="0.3">
      <c r="E228" s="25"/>
      <c r="F228" s="25"/>
      <c r="H228" s="25"/>
      <c r="I228" s="25"/>
      <c r="J228" s="25"/>
      <c r="K228" s="25"/>
      <c r="L228" s="25"/>
      <c r="M228" s="25"/>
      <c r="N228" s="25"/>
      <c r="P228" s="27"/>
      <c r="Q228" s="27"/>
      <c r="R228" s="27"/>
      <c r="S228" s="27"/>
      <c r="U228" s="27"/>
      <c r="V228" s="27"/>
      <c r="W228" s="27"/>
    </row>
    <row r="229" spans="5:23" x14ac:dyDescent="0.3">
      <c r="E229" s="25"/>
      <c r="F229" s="25"/>
      <c r="H229" s="25"/>
      <c r="I229" s="25"/>
      <c r="J229" s="25"/>
      <c r="K229" s="25"/>
      <c r="L229" s="25"/>
      <c r="M229" s="25"/>
      <c r="N229" s="25"/>
      <c r="P229" s="27"/>
      <c r="Q229" s="27"/>
      <c r="R229" s="27"/>
      <c r="S229" s="27"/>
      <c r="U229" s="27"/>
      <c r="V229" s="27"/>
      <c r="W229" s="27"/>
    </row>
    <row r="230" spans="5:23" x14ac:dyDescent="0.3">
      <c r="E230" s="25"/>
      <c r="F230" s="25"/>
      <c r="H230" s="25"/>
      <c r="I230" s="25"/>
      <c r="J230" s="25"/>
      <c r="K230" s="25"/>
      <c r="L230" s="25"/>
      <c r="M230" s="25"/>
      <c r="N230" s="25"/>
      <c r="P230" s="27"/>
      <c r="Q230" s="27"/>
      <c r="R230" s="27"/>
      <c r="S230" s="27"/>
      <c r="U230" s="27"/>
      <c r="V230" s="27"/>
      <c r="W230" s="27"/>
    </row>
    <row r="231" spans="5:23" x14ac:dyDescent="0.3">
      <c r="E231" s="25"/>
      <c r="F231" s="25"/>
      <c r="H231" s="25"/>
      <c r="I231" s="25"/>
      <c r="J231" s="25"/>
      <c r="K231" s="25"/>
      <c r="L231" s="25"/>
      <c r="M231" s="25"/>
      <c r="N231" s="25"/>
      <c r="P231" s="27"/>
      <c r="Q231" s="27"/>
      <c r="R231" s="27"/>
      <c r="S231" s="27"/>
      <c r="U231" s="27"/>
      <c r="V231" s="27"/>
      <c r="W231" s="27"/>
    </row>
    <row r="232" spans="5:23" x14ac:dyDescent="0.3">
      <c r="E232" s="25"/>
      <c r="F232" s="25"/>
      <c r="H232" s="25"/>
      <c r="I232" s="25"/>
      <c r="J232" s="25"/>
      <c r="K232" s="25"/>
      <c r="L232" s="25"/>
      <c r="M232" s="25"/>
      <c r="N232" s="25"/>
      <c r="P232" s="27"/>
      <c r="Q232" s="27"/>
      <c r="R232" s="27"/>
      <c r="S232" s="27"/>
      <c r="U232" s="27"/>
      <c r="V232" s="27"/>
      <c r="W232" s="27"/>
    </row>
    <row r="233" spans="5:23" x14ac:dyDescent="0.3">
      <c r="E233" s="25"/>
      <c r="F233" s="25"/>
      <c r="H233" s="25"/>
      <c r="I233" s="25"/>
      <c r="J233" s="25"/>
      <c r="K233" s="25"/>
      <c r="L233" s="25"/>
      <c r="M233" s="25"/>
      <c r="N233" s="25"/>
      <c r="P233" s="27"/>
      <c r="Q233" s="27"/>
      <c r="R233" s="27"/>
      <c r="S233" s="27"/>
      <c r="U233" s="27"/>
      <c r="V233" s="27"/>
      <c r="W233" s="27"/>
    </row>
    <row r="234" spans="5:23" x14ac:dyDescent="0.3">
      <c r="E234" s="25"/>
      <c r="F234" s="25"/>
      <c r="H234" s="25"/>
      <c r="I234" s="25"/>
      <c r="J234" s="25"/>
      <c r="K234" s="25"/>
      <c r="L234" s="25"/>
      <c r="M234" s="25"/>
      <c r="N234" s="25"/>
      <c r="P234" s="27"/>
      <c r="Q234" s="27"/>
      <c r="R234" s="27"/>
      <c r="S234" s="27"/>
      <c r="U234" s="27"/>
      <c r="V234" s="27"/>
      <c r="W234" s="27"/>
    </row>
    <row r="235" spans="5:23" x14ac:dyDescent="0.3">
      <c r="E235" s="25"/>
      <c r="F235" s="25"/>
      <c r="H235" s="25"/>
      <c r="I235" s="25"/>
      <c r="J235" s="25"/>
      <c r="K235" s="25"/>
      <c r="L235" s="25"/>
      <c r="M235" s="25"/>
      <c r="N235" s="25"/>
      <c r="P235" s="27"/>
      <c r="Q235" s="27"/>
      <c r="R235" s="27"/>
      <c r="S235" s="27"/>
      <c r="U235" s="27"/>
      <c r="V235" s="27"/>
      <c r="W235" s="27"/>
    </row>
    <row r="236" spans="5:23" x14ac:dyDescent="0.3">
      <c r="E236" s="25"/>
      <c r="F236" s="25"/>
      <c r="H236" s="25"/>
      <c r="I236" s="25"/>
      <c r="J236" s="25"/>
      <c r="K236" s="25"/>
      <c r="L236" s="25"/>
      <c r="M236" s="25"/>
      <c r="N236" s="25"/>
      <c r="P236" s="27"/>
      <c r="Q236" s="27"/>
      <c r="R236" s="27"/>
      <c r="S236" s="27"/>
      <c r="U236" s="27"/>
      <c r="V236" s="27"/>
      <c r="W236" s="27"/>
    </row>
    <row r="237" spans="5:23" x14ac:dyDescent="0.3">
      <c r="E237" s="25"/>
      <c r="F237" s="25"/>
      <c r="H237" s="25"/>
      <c r="I237" s="25"/>
      <c r="J237" s="25"/>
      <c r="K237" s="25"/>
      <c r="L237" s="25"/>
      <c r="M237" s="25"/>
      <c r="N237" s="25"/>
      <c r="P237" s="27"/>
      <c r="Q237" s="27"/>
      <c r="R237" s="27"/>
      <c r="S237" s="27"/>
      <c r="U237" s="27"/>
      <c r="V237" s="27"/>
      <c r="W237" s="27"/>
    </row>
    <row r="238" spans="5:23" x14ac:dyDescent="0.3">
      <c r="E238" s="25"/>
      <c r="F238" s="25"/>
      <c r="H238" s="25"/>
      <c r="I238" s="25"/>
      <c r="J238" s="25"/>
      <c r="K238" s="25"/>
      <c r="L238" s="25"/>
      <c r="M238" s="25"/>
      <c r="N238" s="25"/>
      <c r="P238" s="27"/>
      <c r="Q238" s="27"/>
      <c r="R238" s="27"/>
      <c r="S238" s="27"/>
      <c r="U238" s="27"/>
      <c r="V238" s="27"/>
      <c r="W238" s="27"/>
    </row>
    <row r="239" spans="5:23" x14ac:dyDescent="0.3">
      <c r="E239" s="25"/>
      <c r="F239" s="25"/>
      <c r="H239" s="25"/>
      <c r="I239" s="25"/>
      <c r="J239" s="25"/>
      <c r="K239" s="25"/>
      <c r="L239" s="25"/>
      <c r="M239" s="25"/>
      <c r="N239" s="25"/>
      <c r="P239" s="27"/>
      <c r="Q239" s="27"/>
      <c r="R239" s="27"/>
      <c r="S239" s="27"/>
      <c r="U239" s="27"/>
      <c r="V239" s="27"/>
      <c r="W239" s="27"/>
    </row>
    <row r="240" spans="5:23" x14ac:dyDescent="0.3">
      <c r="E240" s="25"/>
      <c r="F240" s="25"/>
      <c r="H240" s="25"/>
      <c r="I240" s="25"/>
      <c r="J240" s="25"/>
      <c r="K240" s="25"/>
      <c r="L240" s="25"/>
      <c r="M240" s="25"/>
      <c r="N240" s="25"/>
      <c r="P240" s="27"/>
      <c r="Q240" s="27"/>
      <c r="R240" s="27"/>
      <c r="S240" s="27"/>
      <c r="U240" s="27"/>
      <c r="V240" s="27"/>
      <c r="W240" s="27"/>
    </row>
    <row r="241" spans="5:23" x14ac:dyDescent="0.3">
      <c r="E241" s="25"/>
      <c r="F241" s="25"/>
      <c r="H241" s="25"/>
      <c r="I241" s="25"/>
      <c r="J241" s="25"/>
      <c r="K241" s="25"/>
      <c r="L241" s="25"/>
      <c r="M241" s="25"/>
      <c r="N241" s="25"/>
      <c r="P241" s="27"/>
      <c r="Q241" s="27"/>
      <c r="R241" s="27"/>
      <c r="S241" s="27"/>
      <c r="U241" s="27"/>
      <c r="V241" s="27"/>
      <c r="W241" s="27"/>
    </row>
    <row r="242" spans="5:23" x14ac:dyDescent="0.3">
      <c r="E242" s="25"/>
      <c r="F242" s="25"/>
      <c r="H242" s="25"/>
      <c r="I242" s="25"/>
      <c r="J242" s="25"/>
      <c r="K242" s="25"/>
      <c r="L242" s="25"/>
      <c r="M242" s="25"/>
      <c r="N242" s="25"/>
      <c r="P242" s="27"/>
      <c r="Q242" s="27"/>
      <c r="R242" s="27"/>
      <c r="S242" s="27"/>
      <c r="U242" s="27"/>
      <c r="V242" s="27"/>
      <c r="W242" s="27"/>
    </row>
    <row r="243" spans="5:23" x14ac:dyDescent="0.3">
      <c r="E243" s="25"/>
      <c r="F243" s="25"/>
      <c r="H243" s="25"/>
      <c r="I243" s="25"/>
      <c r="J243" s="25"/>
      <c r="K243" s="25"/>
      <c r="L243" s="25"/>
      <c r="M243" s="25"/>
      <c r="N243" s="25"/>
      <c r="P243" s="27"/>
      <c r="Q243" s="27"/>
      <c r="R243" s="27"/>
      <c r="S243" s="27"/>
      <c r="U243" s="27"/>
      <c r="V243" s="27"/>
      <c r="W243" s="27"/>
    </row>
    <row r="244" spans="5:23" x14ac:dyDescent="0.3">
      <c r="E244" s="25"/>
      <c r="F244" s="25"/>
      <c r="H244" s="25"/>
      <c r="I244" s="25"/>
      <c r="J244" s="25"/>
      <c r="K244" s="25"/>
      <c r="L244" s="25"/>
      <c r="M244" s="25"/>
      <c r="N244" s="25"/>
      <c r="P244" s="27"/>
      <c r="Q244" s="27"/>
      <c r="R244" s="27"/>
      <c r="S244" s="27"/>
      <c r="U244" s="27"/>
      <c r="V244" s="27"/>
      <c r="W244" s="27"/>
    </row>
    <row r="245" spans="5:23" x14ac:dyDescent="0.3">
      <c r="E245" s="25"/>
      <c r="F245" s="25"/>
      <c r="H245" s="25"/>
      <c r="I245" s="25"/>
      <c r="J245" s="25"/>
      <c r="K245" s="25"/>
      <c r="L245" s="25"/>
      <c r="M245" s="25"/>
      <c r="N245" s="25"/>
      <c r="P245" s="27"/>
      <c r="Q245" s="27"/>
      <c r="R245" s="27"/>
      <c r="S245" s="27"/>
      <c r="U245" s="27"/>
      <c r="V245" s="27"/>
      <c r="W245" s="27"/>
    </row>
    <row r="246" spans="5:23" x14ac:dyDescent="0.3">
      <c r="E246" s="25"/>
      <c r="F246" s="25"/>
      <c r="H246" s="25"/>
      <c r="I246" s="25"/>
      <c r="J246" s="25"/>
      <c r="K246" s="25"/>
      <c r="L246" s="25"/>
      <c r="M246" s="25"/>
      <c r="N246" s="25"/>
      <c r="P246" s="27"/>
      <c r="Q246" s="27"/>
      <c r="R246" s="27"/>
      <c r="S246" s="27"/>
      <c r="U246" s="27"/>
      <c r="V246" s="27"/>
      <c r="W246" s="27"/>
    </row>
    <row r="247" spans="5:23" x14ac:dyDescent="0.3">
      <c r="E247" s="25"/>
      <c r="F247" s="25"/>
      <c r="H247" s="25"/>
      <c r="I247" s="25"/>
      <c r="J247" s="25"/>
      <c r="K247" s="25"/>
      <c r="L247" s="25"/>
      <c r="M247" s="25"/>
      <c r="N247" s="25"/>
      <c r="P247" s="27"/>
      <c r="Q247" s="27"/>
      <c r="R247" s="27"/>
      <c r="S247" s="27"/>
      <c r="U247" s="27"/>
      <c r="V247" s="27"/>
      <c r="W247" s="27"/>
    </row>
    <row r="248" spans="5:23" x14ac:dyDescent="0.3">
      <c r="E248" s="25"/>
      <c r="F248" s="25"/>
      <c r="H248" s="25"/>
      <c r="I248" s="25"/>
      <c r="J248" s="25"/>
      <c r="K248" s="25"/>
      <c r="L248" s="25"/>
      <c r="M248" s="25"/>
      <c r="N248" s="25"/>
      <c r="P248" s="27"/>
      <c r="Q248" s="27"/>
      <c r="R248" s="27"/>
      <c r="S248" s="27"/>
      <c r="U248" s="27"/>
      <c r="V248" s="27"/>
      <c r="W248" s="27"/>
    </row>
    <row r="249" spans="5:23" x14ac:dyDescent="0.3">
      <c r="E249" s="25"/>
      <c r="F249" s="25"/>
      <c r="H249" s="25"/>
      <c r="I249" s="25"/>
      <c r="J249" s="25"/>
      <c r="K249" s="25"/>
      <c r="L249" s="25"/>
      <c r="M249" s="25"/>
      <c r="N249" s="25"/>
      <c r="P249" s="27"/>
      <c r="Q249" s="27"/>
      <c r="R249" s="27"/>
      <c r="S249" s="27"/>
      <c r="U249" s="27"/>
      <c r="V249" s="27"/>
      <c r="W249" s="27"/>
    </row>
    <row r="250" spans="5:23" x14ac:dyDescent="0.3">
      <c r="E250" s="25"/>
      <c r="F250" s="25"/>
      <c r="H250" s="25"/>
      <c r="I250" s="25"/>
      <c r="J250" s="25"/>
      <c r="K250" s="25"/>
      <c r="L250" s="25"/>
      <c r="M250" s="25"/>
      <c r="N250" s="25"/>
      <c r="P250" s="27"/>
      <c r="Q250" s="27"/>
      <c r="R250" s="27"/>
      <c r="S250" s="27"/>
      <c r="U250" s="27"/>
      <c r="V250" s="27"/>
      <c r="W250" s="27"/>
    </row>
    <row r="251" spans="5:23" x14ac:dyDescent="0.3">
      <c r="E251" s="25"/>
      <c r="F251" s="25"/>
      <c r="H251" s="25"/>
      <c r="I251" s="25"/>
      <c r="J251" s="25"/>
      <c r="K251" s="25"/>
      <c r="L251" s="25"/>
      <c r="M251" s="25"/>
      <c r="N251" s="25"/>
      <c r="P251" s="27"/>
      <c r="Q251" s="27"/>
      <c r="R251" s="27"/>
      <c r="S251" s="27"/>
      <c r="U251" s="27"/>
      <c r="V251" s="27"/>
      <c r="W251" s="27"/>
    </row>
    <row r="252" spans="5:23" x14ac:dyDescent="0.3">
      <c r="E252" s="25"/>
      <c r="F252" s="25"/>
      <c r="H252" s="25"/>
      <c r="I252" s="25"/>
      <c r="J252" s="25"/>
      <c r="K252" s="25"/>
      <c r="L252" s="25"/>
      <c r="M252" s="25"/>
      <c r="N252" s="25"/>
      <c r="P252" s="27"/>
      <c r="Q252" s="27"/>
      <c r="R252" s="27"/>
      <c r="S252" s="27"/>
      <c r="U252" s="27"/>
      <c r="V252" s="27"/>
      <c r="W252" s="27"/>
    </row>
    <row r="253" spans="5:23" x14ac:dyDescent="0.3">
      <c r="E253" s="25"/>
      <c r="F253" s="25"/>
      <c r="H253" s="25"/>
      <c r="I253" s="25"/>
      <c r="J253" s="25"/>
      <c r="K253" s="25"/>
      <c r="L253" s="25"/>
      <c r="M253" s="25"/>
      <c r="N253" s="25"/>
      <c r="P253" s="27"/>
      <c r="Q253" s="27"/>
      <c r="R253" s="27"/>
      <c r="S253" s="27"/>
      <c r="U253" s="27"/>
      <c r="V253" s="27"/>
      <c r="W253" s="27"/>
    </row>
    <row r="254" spans="5:23" x14ac:dyDescent="0.3">
      <c r="E254" s="25"/>
      <c r="F254" s="25"/>
      <c r="H254" s="25"/>
      <c r="I254" s="25"/>
      <c r="J254" s="25"/>
      <c r="K254" s="25"/>
      <c r="L254" s="25"/>
      <c r="M254" s="25"/>
      <c r="N254" s="25"/>
      <c r="P254" s="27"/>
      <c r="Q254" s="27"/>
      <c r="R254" s="27"/>
      <c r="S254" s="27"/>
      <c r="U254" s="27"/>
      <c r="V254" s="27"/>
      <c r="W254" s="27"/>
    </row>
    <row r="255" spans="5:23" x14ac:dyDescent="0.3">
      <c r="E255" s="25"/>
      <c r="F255" s="25"/>
      <c r="H255" s="25"/>
      <c r="I255" s="25"/>
      <c r="J255" s="25"/>
      <c r="K255" s="25"/>
      <c r="L255" s="25"/>
      <c r="M255" s="25"/>
      <c r="N255" s="25"/>
      <c r="P255" s="27"/>
      <c r="Q255" s="27"/>
      <c r="R255" s="27"/>
      <c r="S255" s="27"/>
      <c r="U255" s="27"/>
      <c r="V255" s="27"/>
      <c r="W255" s="27"/>
    </row>
    <row r="256" spans="5:23" x14ac:dyDescent="0.3">
      <c r="E256" s="25"/>
      <c r="F256" s="25"/>
      <c r="H256" s="25"/>
      <c r="I256" s="25"/>
      <c r="J256" s="25"/>
      <c r="K256" s="25"/>
      <c r="L256" s="25"/>
      <c r="M256" s="25"/>
      <c r="N256" s="25"/>
      <c r="P256" s="27"/>
      <c r="Q256" s="27"/>
      <c r="R256" s="27"/>
      <c r="S256" s="27"/>
      <c r="U256" s="27"/>
      <c r="V256" s="27"/>
      <c r="W256" s="27"/>
    </row>
    <row r="257" spans="6:23" x14ac:dyDescent="0.3">
      <c r="F257" s="25"/>
      <c r="H257" s="25"/>
      <c r="I257" s="25"/>
      <c r="J257" s="25"/>
      <c r="K257" s="25"/>
      <c r="L257" s="25"/>
      <c r="M257" s="25"/>
      <c r="N257" s="25"/>
      <c r="P257" s="27"/>
      <c r="Q257" s="27"/>
      <c r="R257" s="27"/>
      <c r="S257" s="27"/>
      <c r="U257" s="27"/>
      <c r="V257" s="27"/>
      <c r="W257" s="27"/>
    </row>
    <row r="258" spans="6:23" x14ac:dyDescent="0.3">
      <c r="F258" s="25"/>
      <c r="H258" s="25"/>
      <c r="I258" s="25"/>
      <c r="J258" s="25"/>
      <c r="K258" s="25"/>
      <c r="L258" s="25"/>
      <c r="M258" s="25"/>
      <c r="N258" s="25"/>
      <c r="P258" s="27"/>
      <c r="Q258" s="27"/>
      <c r="R258" s="27"/>
      <c r="S258" s="27"/>
      <c r="U258" s="27"/>
      <c r="V258" s="27"/>
      <c r="W258" s="27"/>
    </row>
    <row r="259" spans="6:23" x14ac:dyDescent="0.3">
      <c r="F259" s="25"/>
      <c r="H259" s="25"/>
      <c r="I259" s="25"/>
      <c r="J259" s="25"/>
      <c r="K259" s="25"/>
      <c r="L259" s="25"/>
      <c r="M259" s="25"/>
      <c r="N259" s="25"/>
      <c r="P259" s="27"/>
      <c r="Q259" s="27"/>
      <c r="R259" s="27"/>
      <c r="S259" s="27"/>
      <c r="U259" s="27"/>
      <c r="V259" s="27"/>
      <c r="W259" s="27"/>
    </row>
    <row r="260" spans="6:23" x14ac:dyDescent="0.3">
      <c r="F260" s="25"/>
      <c r="H260" s="25"/>
      <c r="I260" s="25"/>
      <c r="J260" s="25"/>
      <c r="K260" s="25"/>
      <c r="L260" s="25"/>
      <c r="M260" s="25"/>
      <c r="N260" s="25"/>
      <c r="P260" s="27"/>
      <c r="Q260" s="27"/>
      <c r="R260" s="27"/>
      <c r="S260" s="27"/>
      <c r="U260" s="27"/>
      <c r="V260" s="27"/>
      <c r="W260" s="27"/>
    </row>
    <row r="261" spans="6:23" x14ac:dyDescent="0.3">
      <c r="F261" s="25"/>
      <c r="H261" s="25"/>
      <c r="I261" s="25"/>
      <c r="J261" s="25"/>
      <c r="K261" s="25"/>
      <c r="L261" s="25"/>
      <c r="M261" s="25"/>
      <c r="N261" s="25"/>
      <c r="P261" s="27"/>
      <c r="Q261" s="27"/>
      <c r="R261" s="27"/>
      <c r="S261" s="27"/>
      <c r="U261" s="27"/>
      <c r="V261" s="27"/>
      <c r="W261" s="27"/>
    </row>
    <row r="262" spans="6:23" x14ac:dyDescent="0.3">
      <c r="F262" s="25"/>
      <c r="H262" s="25"/>
      <c r="I262" s="25"/>
      <c r="J262" s="25"/>
      <c r="K262" s="25"/>
      <c r="L262" s="25"/>
      <c r="M262" s="25"/>
      <c r="N262" s="25"/>
      <c r="P262" s="27"/>
      <c r="Q262" s="27"/>
      <c r="R262" s="27"/>
      <c r="S262" s="27"/>
      <c r="U262" s="27"/>
      <c r="V262" s="27"/>
      <c r="W262" s="27"/>
    </row>
    <row r="263" spans="6:23" x14ac:dyDescent="0.3">
      <c r="F263" s="25"/>
      <c r="H263" s="25"/>
      <c r="I263" s="25"/>
      <c r="J263" s="25"/>
      <c r="K263" s="25"/>
      <c r="L263" s="25"/>
      <c r="M263" s="25"/>
      <c r="N263" s="25"/>
      <c r="P263" s="27"/>
      <c r="Q263" s="27"/>
      <c r="R263" s="27"/>
      <c r="S263" s="27"/>
      <c r="U263" s="27"/>
      <c r="V263" s="27"/>
      <c r="W263" s="27"/>
    </row>
    <row r="264" spans="6:23" x14ac:dyDescent="0.3">
      <c r="F264" s="25"/>
      <c r="H264" s="25"/>
      <c r="I264" s="25"/>
      <c r="J264" s="25"/>
      <c r="K264" s="25"/>
      <c r="L264" s="25"/>
      <c r="M264" s="25"/>
      <c r="N264" s="25"/>
      <c r="P264" s="27"/>
      <c r="Q264" s="27"/>
      <c r="R264" s="27"/>
      <c r="S264" s="27"/>
      <c r="U264" s="27"/>
      <c r="V264" s="27"/>
      <c r="W264" s="27"/>
    </row>
    <row r="265" spans="6:23" x14ac:dyDescent="0.3">
      <c r="F265" s="25"/>
      <c r="H265" s="25"/>
      <c r="I265" s="25"/>
      <c r="J265" s="25"/>
      <c r="K265" s="25"/>
      <c r="L265" s="25"/>
      <c r="M265" s="25"/>
      <c r="N265" s="25"/>
      <c r="P265" s="27"/>
      <c r="Q265" s="27"/>
      <c r="R265" s="27"/>
      <c r="S265" s="27"/>
      <c r="U265" s="27"/>
      <c r="V265" s="27"/>
      <c r="W265" s="27"/>
    </row>
    <row r="266" spans="6:23" x14ac:dyDescent="0.3">
      <c r="F266" s="25"/>
      <c r="H266" s="25"/>
      <c r="I266" s="25"/>
      <c r="J266" s="25"/>
      <c r="K266" s="25"/>
      <c r="L266" s="25"/>
      <c r="M266" s="25"/>
      <c r="N266" s="25"/>
      <c r="P266" s="27"/>
      <c r="Q266" s="27"/>
      <c r="R266" s="27"/>
      <c r="S266" s="27"/>
      <c r="U266" s="27"/>
      <c r="V266" s="27"/>
      <c r="W266" s="27"/>
    </row>
    <row r="267" spans="6:23" x14ac:dyDescent="0.3">
      <c r="F267" s="25"/>
      <c r="H267" s="25"/>
      <c r="I267" s="25"/>
      <c r="J267" s="25"/>
      <c r="K267" s="25"/>
      <c r="L267" s="25"/>
      <c r="M267" s="25"/>
      <c r="N267" s="25"/>
      <c r="P267" s="27"/>
      <c r="Q267" s="27"/>
      <c r="R267" s="27"/>
      <c r="S267" s="27"/>
      <c r="U267" s="27"/>
      <c r="V267" s="27"/>
      <c r="W267" s="27"/>
    </row>
    <row r="268" spans="6:23" x14ac:dyDescent="0.3">
      <c r="F268" s="25"/>
      <c r="H268" s="25"/>
      <c r="I268" s="25"/>
      <c r="J268" s="25"/>
      <c r="K268" s="25"/>
      <c r="L268" s="25"/>
      <c r="M268" s="25"/>
      <c r="N268" s="25"/>
      <c r="P268" s="27"/>
      <c r="Q268" s="27"/>
      <c r="R268" s="27"/>
      <c r="S268" s="27"/>
      <c r="U268" s="27"/>
      <c r="V268" s="27"/>
      <c r="W268" s="27"/>
    </row>
    <row r="269" spans="6:23" x14ac:dyDescent="0.3">
      <c r="F269" s="25"/>
      <c r="H269" s="25"/>
      <c r="I269" s="25"/>
      <c r="J269" s="25"/>
      <c r="K269" s="25"/>
      <c r="L269" s="25"/>
      <c r="M269" s="25"/>
      <c r="N269" s="25"/>
      <c r="P269" s="27"/>
      <c r="Q269" s="27"/>
      <c r="R269" s="27"/>
      <c r="S269" s="27"/>
      <c r="U269" s="27"/>
      <c r="V269" s="27"/>
      <c r="W269" s="27"/>
    </row>
    <row r="270" spans="6:23" x14ac:dyDescent="0.3">
      <c r="F270" s="25"/>
      <c r="H270" s="25"/>
      <c r="I270" s="25"/>
      <c r="J270" s="25"/>
      <c r="K270" s="25"/>
      <c r="L270" s="25"/>
      <c r="M270" s="25"/>
      <c r="N270" s="25"/>
      <c r="P270" s="27"/>
      <c r="Q270" s="27"/>
      <c r="R270" s="27"/>
      <c r="S270" s="27"/>
      <c r="U270" s="27"/>
      <c r="V270" s="27"/>
      <c r="W270" s="27"/>
    </row>
    <row r="271" spans="6:23" x14ac:dyDescent="0.3">
      <c r="F271" s="25"/>
      <c r="H271" s="25"/>
      <c r="I271" s="25"/>
      <c r="J271" s="25"/>
      <c r="K271" s="25"/>
      <c r="L271" s="25"/>
      <c r="M271" s="25"/>
      <c r="N271" s="25"/>
      <c r="P271" s="27"/>
      <c r="Q271" s="27"/>
      <c r="R271" s="27"/>
      <c r="S271" s="27"/>
      <c r="U271" s="27"/>
      <c r="V271" s="27"/>
      <c r="W271" s="27"/>
    </row>
    <row r="272" spans="6:23" x14ac:dyDescent="0.3">
      <c r="F272" s="25"/>
      <c r="H272" s="25"/>
      <c r="I272" s="25"/>
      <c r="J272" s="25"/>
      <c r="K272" s="25"/>
      <c r="L272" s="25"/>
      <c r="M272" s="25"/>
      <c r="N272" s="25"/>
      <c r="P272" s="27"/>
      <c r="Q272" s="27"/>
      <c r="R272" s="27"/>
      <c r="S272" s="27"/>
      <c r="U272" s="27"/>
      <c r="V272" s="27"/>
      <c r="W272" s="27"/>
    </row>
    <row r="273" spans="6:40" x14ac:dyDescent="0.3">
      <c r="F273" s="25"/>
      <c r="H273" s="25"/>
      <c r="I273" s="25"/>
      <c r="J273" s="25"/>
      <c r="K273" s="25"/>
      <c r="L273" s="25"/>
      <c r="M273" s="25"/>
      <c r="N273" s="25"/>
      <c r="P273" s="27"/>
      <c r="Q273" s="27"/>
      <c r="R273" s="27"/>
      <c r="S273" s="27"/>
      <c r="U273" s="27"/>
      <c r="V273" s="27"/>
      <c r="W273" s="27"/>
    </row>
    <row r="274" spans="6:40" x14ac:dyDescent="0.3">
      <c r="F274" s="25"/>
      <c r="H274" s="25"/>
      <c r="I274" s="25"/>
      <c r="J274" s="25"/>
      <c r="K274" s="25"/>
      <c r="L274" s="25"/>
      <c r="M274" s="25"/>
      <c r="N274" s="25"/>
      <c r="P274" s="27"/>
      <c r="Q274" s="27"/>
      <c r="R274" s="27"/>
      <c r="S274" s="27"/>
      <c r="U274" s="27"/>
      <c r="V274" s="27"/>
      <c r="W274" s="27"/>
    </row>
    <row r="275" spans="6:40" x14ac:dyDescent="0.3">
      <c r="AN275" s="58"/>
    </row>
  </sheetData>
  <mergeCells count="100">
    <mergeCell ref="B45:B46"/>
    <mergeCell ref="C45:C46"/>
    <mergeCell ref="E45:E46"/>
    <mergeCell ref="AD45:AD46"/>
    <mergeCell ref="AE45:AE46"/>
    <mergeCell ref="C33:C34"/>
    <mergeCell ref="C27:C29"/>
    <mergeCell ref="B42:B44"/>
    <mergeCell ref="B24:B26"/>
    <mergeCell ref="B27:B29"/>
    <mergeCell ref="B31:B32"/>
    <mergeCell ref="B33:B34"/>
    <mergeCell ref="B35:B37"/>
    <mergeCell ref="B38:B40"/>
    <mergeCell ref="C31:C32"/>
    <mergeCell ref="C42:C44"/>
    <mergeCell ref="C38:C40"/>
    <mergeCell ref="C35:C37"/>
    <mergeCell ref="B9:B11"/>
    <mergeCell ref="B12:B14"/>
    <mergeCell ref="B15:B17"/>
    <mergeCell ref="B18:B20"/>
    <mergeCell ref="B21:B23"/>
    <mergeCell ref="C9:C11"/>
    <mergeCell ref="C21:C23"/>
    <mergeCell ref="C15:C17"/>
    <mergeCell ref="C18:C20"/>
    <mergeCell ref="C24:C26"/>
    <mergeCell ref="C12:C14"/>
    <mergeCell ref="AN7:AN8"/>
    <mergeCell ref="AO7:AO8"/>
    <mergeCell ref="AN6:AO6"/>
    <mergeCell ref="AA6:AA8"/>
    <mergeCell ref="AD9:AD11"/>
    <mergeCell ref="AE9:AE11"/>
    <mergeCell ref="H7:H8"/>
    <mergeCell ref="B7:B8"/>
    <mergeCell ref="K7:K8"/>
    <mergeCell ref="E9:E11"/>
    <mergeCell ref="AP6:AP8"/>
    <mergeCell ref="AG6:AH6"/>
    <mergeCell ref="AG8:AG9"/>
    <mergeCell ref="AH8:AH9"/>
    <mergeCell ref="AD7:AD8"/>
    <mergeCell ref="Y6:Z6"/>
    <mergeCell ref="U6:W6"/>
    <mergeCell ref="AC7:AC8"/>
    <mergeCell ref="AC6:AE6"/>
    <mergeCell ref="AB6:AB8"/>
    <mergeCell ref="AE7:AE8"/>
    <mergeCell ref="X6:X8"/>
    <mergeCell ref="T6:T8"/>
    <mergeCell ref="P6:S6"/>
    <mergeCell ref="N5:O6"/>
    <mergeCell ref="O7:O8"/>
    <mergeCell ref="C7:C8"/>
    <mergeCell ref="M7:M8"/>
    <mergeCell ref="I7:I8"/>
    <mergeCell ref="J7:J8"/>
    <mergeCell ref="P5:AE5"/>
    <mergeCell ref="B5:M6"/>
    <mergeCell ref="L7:L8"/>
    <mergeCell ref="N7:N8"/>
    <mergeCell ref="D7:D8"/>
    <mergeCell ref="E7:E8"/>
    <mergeCell ref="F7:F8"/>
    <mergeCell ref="G7:G8"/>
    <mergeCell ref="E18:E20"/>
    <mergeCell ref="AD18:AD20"/>
    <mergeCell ref="AE18:AE20"/>
    <mergeCell ref="E21:E23"/>
    <mergeCell ref="AD21:AD23"/>
    <mergeCell ref="AE21:AE23"/>
    <mergeCell ref="E12:E14"/>
    <mergeCell ref="AD12:AD14"/>
    <mergeCell ref="AE12:AE14"/>
    <mergeCell ref="E15:E17"/>
    <mergeCell ref="AD15:AD17"/>
    <mergeCell ref="AE15:AE17"/>
    <mergeCell ref="AD24:AD26"/>
    <mergeCell ref="AE24:AE26"/>
    <mergeCell ref="E31:E32"/>
    <mergeCell ref="AD31:AD32"/>
    <mergeCell ref="AE31:AE32"/>
    <mergeCell ref="E27:E29"/>
    <mergeCell ref="AD27:AD29"/>
    <mergeCell ref="AE27:AE29"/>
    <mergeCell ref="E24:E26"/>
    <mergeCell ref="E33:E34"/>
    <mergeCell ref="AD33:AD34"/>
    <mergeCell ref="AE33:AE34"/>
    <mergeCell ref="E42:E44"/>
    <mergeCell ref="AD42:AD44"/>
    <mergeCell ref="AE42:AE44"/>
    <mergeCell ref="E35:E37"/>
    <mergeCell ref="AD35:AD37"/>
    <mergeCell ref="AE35:AE37"/>
    <mergeCell ref="E38:E40"/>
    <mergeCell ref="AD38:AD40"/>
    <mergeCell ref="AE38:AE40"/>
  </mergeCells>
  <conditionalFormatting sqref="X275:X1048568 X9:X46">
    <cfRule type="expression" dxfId="52" priority="1013" stopIfTrue="1">
      <formula>COUNTA(U9:W9)&gt;1</formula>
    </cfRule>
  </conditionalFormatting>
  <conditionalFormatting sqref="AB275:AB1048568 AB9:AB46">
    <cfRule type="expression" dxfId="51" priority="1012" stopIfTrue="1">
      <formula>COUNTA(Y9:Z9)=2</formula>
    </cfRule>
  </conditionalFormatting>
  <conditionalFormatting sqref="AB9:AB44">
    <cfRule type="cellIs" dxfId="50" priority="320" stopIfTrue="1" operator="greaterThan">
      <formula>60</formula>
    </cfRule>
  </conditionalFormatting>
  <conditionalFormatting sqref="T9:T46">
    <cfRule type="expression" dxfId="49" priority="50">
      <formula>IF(OR(AND(Q9="",OR(R9="X",S9="X")),AND($R9="",$S9="X")),TRUE,FALSE)</formula>
    </cfRule>
    <cfRule type="expression" dxfId="48" priority="52">
      <formula>IF(AND(NOT(ISBLANK($P9)),OR(NOT(ISBLANK($Q9)),NOT(ISBLANK($R9)),NOT(ISBLANK($S9)))),T9=0,FALSE)</formula>
    </cfRule>
  </conditionalFormatting>
  <conditionalFormatting sqref="X1048569:X1048576">
    <cfRule type="expression" dxfId="47" priority="12061" stopIfTrue="1">
      <formula>COUNTA(U1048569:W1048570)&gt;1</formula>
    </cfRule>
  </conditionalFormatting>
  <conditionalFormatting sqref="AB1048569:AB1048576">
    <cfRule type="expression" dxfId="46" priority="12065" stopIfTrue="1">
      <formula>COUNTA(Y1048569:Z1048570)=2</formula>
    </cfRule>
  </conditionalFormatting>
  <conditionalFormatting sqref="AB45:AB46">
    <cfRule type="cellIs" dxfId="45" priority="3" stopIfTrue="1" operator="greaterThan">
      <formula>60</formula>
    </cfRule>
  </conditionalFormatting>
  <dataValidations count="26">
    <dataValidation allowBlank="1" showInputMessage="1" showErrorMessage="1" prompt="Es uno de los criterios de calificación de los CONTROLES, tiene un peso de 10 puntos sobre un total de 100." sqref="P6"/>
    <dataValidation allowBlank="1" showInputMessage="1" showErrorMessage="1" prompt="Es un elemento del criterio de FORMALIDAD, coloque una X, si el control  no se encuentra documentado en la caracterización de su proceso, en los  procedimientos o en cualquier otro documento de la Empresa." sqref="P7"/>
    <dataValidation allowBlank="1" showInputMessage="1" showErrorMessage="1" prompt="Es un elemento del criterio de FORMALIDAD, coloque una X, si el control ha sido suficientemente divulgado a todo el equipo de trabajo y en especial a quienes deben ejecutarlo." sqref="S7"/>
    <dataValidation allowBlank="1" showInputMessage="1" showErrorMessage="1" prompt="Es un criterio de FORMALIDAD, coloque una X si el control se encuentra aprobado." sqref="R7"/>
    <dataValidation allowBlank="1" showInputMessage="1" showErrorMessage="1" prompt="Es un elemento del criterio de FORMALIDAD; coloque una X, si el control se encuentra documentado en la caracterización de su proceso, en los  procedimientos, o en cualquier otro documento de la Empresa." sqref="Q7"/>
    <dataValidation allowBlank="1" showInputMessage="1" showErrorMessage="1" prompt="Marque con una X, si usted tiene evidencia documentada de la NO efectividad del control frente a la mitigación del riesgo." sqref="Z7"/>
    <dataValidation allowBlank="1" showInputMessage="1" showErrorMessage="1" prompt="Marque una X, si tiene evidencia documentada de la efectividad del control en la mitigación del riesgo._x000a_SOLO PUEDE  MARCAR UNA X  PARA TODO EL CRITERIO" sqref="Y7"/>
    <dataValidation allowBlank="1" showInputMessage="1" showErrorMessage="1" prompt="Es uno de los criterios de calificación de los controles, tiene un peso de 60 puntos de 100." sqref="Y6"/>
    <dataValidation allowBlank="1" showInputMessage="1" showErrorMessage="1" prompt="Marque X, si el control es aplicado siempre por el responsable." sqref="W7"/>
    <dataValidation allowBlank="1" showInputMessage="1" showErrorMessage="1" prompt="Marque una X, si el control se aplica unas veces SI y otras NO, dependiendo de la subjetividad del responsable de su ejecución" sqref="V7"/>
    <dataValidation allowBlank="1" showInputMessage="1" showErrorMessage="1" prompt="Maque una X, si el control no se aplica nunca" sqref="U7"/>
    <dataValidation allowBlank="1" showInputMessage="1" showErrorMessage="1" prompt="Es uno de los criterios de Calificación de los controles, tiene un peso de 20 puntos sobre 100" sqref="U6"/>
    <dataValidation allowBlank="1" showInputMessage="1" showErrorMessage="1" prompt="Calcula el valor del criterio de aplicación._x000a_solo puede marcarse una X, en alguno de los elementos." sqref="X6"/>
    <dataValidation allowBlank="1" showInputMessage="1" showErrorMessage="1" prompt="Adicione la información que permita un mayor entendimiento de la comprobación de la efectividad del control implementado (hallazgos, cambios en el criterio del riesgo, etc.)" sqref="AA6:AA8"/>
    <dataValidation allowBlank="1" showInputMessage="1" showErrorMessage="1" prompt="Describa el objetivo del control. Si más de un control atiende el mismo riesgo pueden compartir el mismo objetivo." sqref="E7:E8"/>
    <dataValidation allowBlank="1" showInputMessage="1" showErrorMessage="1" prompt="Enumere y describa las acciones necesarias para implementar el control." sqref="N7:N8"/>
    <dataValidation allowBlank="1" showInputMessage="1" showErrorMessage="1" prompt="Defina el estado de cada una de las acciones númeradas:_x000a_Planeada_x000a_En ejecución_x000a_Terminada" sqref="O7:O8"/>
    <dataValidation allowBlank="1" showInputMessage="1" showErrorMessage="1" prompt="Calcula la valoración de los criterios evaluados en el control._x000a_Mayor 91: EXCELENTE_x000a_Entre 61 a 90: BUENA_x000a_Entre 20 a 60: BAJA_x000a_Entre 0 a 19: CRITICA" sqref="AC6:AE6"/>
    <dataValidation allowBlank="1" showInputMessage="1" showErrorMessage="1" prompt="Describa las actividades de control o controles que se ejecutan en su proceso para mitigar el riesgo, ya sean para prevenir el riesgo, detectarlo o una vez materializados mitigar el nivel de impacto" sqref="D7:D8"/>
    <dataValidation allowBlank="1" showInputMessage="1" showErrorMessage="1" prompt="Calcula el la calificación del criterio de FORMALIDAD, _x000a_10: Si cumple con todos los elementos_x000a_7: Si esta Documentado y Aprobado pero no Divulgado_x000a_3: Si solo se encuentra Documentado_x000a_Si no esta Documentado no podria ser aprobado ni divulgado" sqref="T6:T8"/>
    <dataValidation type="list" showInputMessage="1" showErrorMessage="1" sqref="AL14:AL18 F9:F46">
      <formula1>"Actividades de control, Políticas, Procedimientos, Plan/Programa,Políticas/procedimientos"</formula1>
    </dataValidation>
    <dataValidation type="list" allowBlank="1" showInputMessage="1" showErrorMessage="1" sqref="H9:H46">
      <formula1>"Continuo, Diario, Semanal, Mensual, Semestral, Anual, Cada vez que se requiera, Trimestral"</formula1>
    </dataValidation>
    <dataValidation type="list" allowBlank="1" showInputMessage="1" showErrorMessage="1" sqref="P9:S46 U9:W1048576 Y9:Z1048576">
      <formula1>"X"</formula1>
    </dataValidation>
    <dataValidation type="list" allowBlank="1" showInputMessage="1" showErrorMessage="1" sqref="I9:I46">
      <formula1>$AL$9:$AL$11</formula1>
    </dataValidation>
    <dataValidation type="list" allowBlank="1" showInputMessage="1" showErrorMessage="1" sqref="H9:H46">
      <formula1>$AJ$9:$AJ$16</formula1>
    </dataValidation>
    <dataValidation type="list" allowBlank="1" showInputMessage="1" showErrorMessage="1" sqref="G9:G1048576">
      <formula1>$AR$9:$AR$11</formula1>
    </dataValidation>
  </dataValidations>
  <pageMargins left="0.7" right="0.7" top="0.75" bottom="0.75" header="0.3" footer="0.3"/>
  <pageSetup orientation="portrait" r:id="rId1"/>
  <headerFooter scaleWithDoc="0" alignWithMargins="0"/>
  <drawing r:id="rId2"/>
  <extLst>
    <ext xmlns:x14="http://schemas.microsoft.com/office/spreadsheetml/2009/9/main" uri="{78C0D931-6437-407d-A8EE-F0AAD7539E65}">
      <x14:conditionalFormattings>
        <x14:conditionalFormatting xmlns:xm="http://schemas.microsoft.com/office/excel/2006/main">
          <x14:cfRule type="iconSet" priority="12142" id="{00000000-000E-0000-0500-000060000000}">
            <x14:iconSet iconSet="4TrafficLights" custom="1">
              <x14:cfvo type="percent">
                <xm:f>0</xm:f>
              </x14:cfvo>
              <x14:cfvo type="num">
                <xm:f>20</xm:f>
              </x14:cfvo>
              <x14:cfvo type="num">
                <xm:f>61</xm:f>
              </x14:cfvo>
              <x14:cfvo type="num">
                <xm:f>91</xm:f>
              </x14:cfvo>
              <x14:cfIcon iconSet="3TrafficLights1" iconId="0"/>
              <x14:cfIcon iconSet="3TrafficLights1" iconId="1"/>
              <x14:cfIcon iconSet="4RedToBlack" iconId="2"/>
              <x14:cfIcon iconSet="3TrafficLights1" iconId="2"/>
            </x14:iconSet>
          </x14:cfRule>
          <xm:sqref>AE35 AE33 AE9 AE12 AE15 AE18 AE21 AE24 AE27 AE30:AE31 AE38 AE41:AE42</xm:sqref>
        </x14:conditionalFormatting>
        <x14:conditionalFormatting xmlns:xm="http://schemas.microsoft.com/office/excel/2006/main">
          <x14:cfRule type="iconSet" priority="12203" id="{00000000-000E-0000-0500-000049000000}">
            <x14:iconSet iconSet="4TrafficLights" custom="1">
              <x14:cfvo type="percent">
                <xm:f>0</xm:f>
              </x14:cfvo>
              <x14:cfvo type="num">
                <xm:f>20</xm:f>
              </x14:cfvo>
              <x14:cfvo type="num">
                <xm:f>40</xm:f>
              </x14:cfvo>
              <x14:cfvo type="num">
                <xm:f>91</xm:f>
              </x14:cfvo>
              <x14:cfIcon iconSet="3TrafficLights1" iconId="0"/>
              <x14:cfIcon iconSet="3TrafficLights1" iconId="1"/>
              <x14:cfIcon iconSet="4RedToBlack" iconId="2"/>
              <x14:cfIcon iconSet="3TrafficLights1" iconId="2"/>
            </x14:iconSet>
          </x14:cfRule>
          <xm:sqref>AC9:AD44</xm:sqref>
        </x14:conditionalFormatting>
        <x14:conditionalFormatting xmlns:xm="http://schemas.microsoft.com/office/excel/2006/main">
          <x14:cfRule type="iconSet" priority="6" id="{E3E3878F-D5E6-42F0-B208-9531229676BC}">
            <x14:iconSet iconSet="4TrafficLights" custom="1">
              <x14:cfvo type="percent">
                <xm:f>0</xm:f>
              </x14:cfvo>
              <x14:cfvo type="num">
                <xm:f>20</xm:f>
              </x14:cfvo>
              <x14:cfvo type="num">
                <xm:f>61</xm:f>
              </x14:cfvo>
              <x14:cfvo type="num">
                <xm:f>91</xm:f>
              </x14:cfvo>
              <x14:cfIcon iconSet="3TrafficLights1" iconId="0"/>
              <x14:cfIcon iconSet="3TrafficLights1" iconId="1"/>
              <x14:cfIcon iconSet="4RedToBlack" iconId="2"/>
              <x14:cfIcon iconSet="3TrafficLights1" iconId="2"/>
            </x14:iconSet>
          </x14:cfRule>
          <xm:sqref>AE45</xm:sqref>
        </x14:conditionalFormatting>
        <x14:conditionalFormatting xmlns:xm="http://schemas.microsoft.com/office/excel/2006/main">
          <x14:cfRule type="iconSet" priority="12208" id="{08AA9B19-CC2D-4500-9E49-02C2FD50EA1E}">
            <x14:iconSet iconSet="4TrafficLights" custom="1">
              <x14:cfvo type="percent">
                <xm:f>0</xm:f>
              </x14:cfvo>
              <x14:cfvo type="num">
                <xm:f>20</xm:f>
              </x14:cfvo>
              <x14:cfvo type="num">
                <xm:f>40</xm:f>
              </x14:cfvo>
              <x14:cfvo type="num">
                <xm:f>91</xm:f>
              </x14:cfvo>
              <x14:cfIcon iconSet="3TrafficLights1" iconId="0"/>
              <x14:cfIcon iconSet="3TrafficLights1" iconId="1"/>
              <x14:cfIcon iconSet="4RedToBlack" iconId="2"/>
              <x14:cfIcon iconSet="3TrafficLights1" iconId="2"/>
            </x14:iconSet>
          </x14:cfRule>
          <xm:sqref>AC45:AD46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Tablas1!$B$36:$B$38</xm:f>
          </x14:formula1>
          <xm:sqref>O27:O28 O30:O46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AF34"/>
  <sheetViews>
    <sheetView showGridLines="0" topLeftCell="A7" zoomScale="85" zoomScaleNormal="85" workbookViewId="0">
      <selection activeCell="B8" sqref="B8"/>
    </sheetView>
  </sheetViews>
  <sheetFormatPr baseColWidth="10" defaultColWidth="11.5546875" defaultRowHeight="14.4" x14ac:dyDescent="0.3"/>
  <cols>
    <col min="1" max="1" width="2.21875" customWidth="1"/>
    <col min="2" max="2" width="11.21875" style="52"/>
    <col min="3" max="4" width="18.5546875" style="52" customWidth="1"/>
    <col min="5" max="5" width="22.77734375" style="52" customWidth="1"/>
    <col min="6" max="6" width="16.77734375" style="56" customWidth="1"/>
    <col min="7" max="7" width="16.21875" style="56" customWidth="1"/>
    <col min="8" max="8" width="15.21875" style="56" customWidth="1"/>
    <col min="9" max="9" width="60.21875" style="56" customWidth="1"/>
    <col min="10" max="10" width="17.77734375" style="56" customWidth="1"/>
    <col min="11" max="11" width="19.5546875" style="56" customWidth="1"/>
    <col min="12" max="19" width="19.5546875" style="56" hidden="1" customWidth="1"/>
    <col min="20" max="20" width="20.5546875" style="56" customWidth="1"/>
    <col min="21" max="21" width="21.21875" style="56" bestFit="1" customWidth="1"/>
    <col min="22" max="23" width="19.21875" style="56" customWidth="1"/>
    <col min="24" max="24" width="23.21875" customWidth="1"/>
    <col min="25" max="25" width="30.21875" style="18" customWidth="1"/>
    <col min="26" max="26" width="15.21875" customWidth="1"/>
    <col min="27" max="27" width="14.77734375" customWidth="1"/>
    <col min="29" max="29" width="29" customWidth="1"/>
    <col min="30" max="30" width="23.44140625" customWidth="1"/>
    <col min="31" max="31" width="24.21875" customWidth="1"/>
  </cols>
  <sheetData>
    <row r="1" spans="2:32" x14ac:dyDescent="0.3">
      <c r="Y1" s="31"/>
      <c r="Z1" s="15"/>
      <c r="AA1" s="15"/>
      <c r="AB1" s="15"/>
      <c r="AC1" s="15"/>
      <c r="AD1" s="15"/>
      <c r="AE1" s="15"/>
      <c r="AF1" s="24"/>
    </row>
    <row r="2" spans="2:32" x14ac:dyDescent="0.3">
      <c r="AB2" s="22"/>
      <c r="AC2" s="18" t="s">
        <v>197</v>
      </c>
      <c r="AD2" s="18" t="s">
        <v>194</v>
      </c>
      <c r="AE2" s="18" t="s">
        <v>191</v>
      </c>
      <c r="AF2" s="24"/>
    </row>
    <row r="3" spans="2:32" ht="22.5" customHeight="1" x14ac:dyDescent="0.3">
      <c r="AB3" s="23"/>
      <c r="AC3" s="18" t="s">
        <v>95</v>
      </c>
      <c r="AD3" s="126">
        <f>AVERAGE(T9:T1048576)</f>
        <v>1.3333333333333333</v>
      </c>
      <c r="AE3" s="126">
        <f>AVERAGE(U9:U1048576)</f>
        <v>1.5333333333333334</v>
      </c>
      <c r="AF3" s="24"/>
    </row>
    <row r="4" spans="2:32" ht="15.75" customHeight="1" x14ac:dyDescent="0.3">
      <c r="AB4" s="23"/>
      <c r="AF4" s="24"/>
    </row>
    <row r="5" spans="2:32" ht="14.25" customHeight="1" x14ac:dyDescent="0.3">
      <c r="B5" s="221" t="s">
        <v>100</v>
      </c>
      <c r="C5" s="221"/>
      <c r="D5" s="221"/>
      <c r="E5" s="221"/>
      <c r="F5" s="221"/>
      <c r="G5" s="221"/>
      <c r="H5" s="221"/>
      <c r="I5" s="221"/>
      <c r="J5" s="221" t="s">
        <v>160</v>
      </c>
      <c r="K5" s="221" t="s">
        <v>161</v>
      </c>
      <c r="L5" s="226" t="s">
        <v>426</v>
      </c>
      <c r="M5" s="227"/>
      <c r="N5" s="227"/>
      <c r="O5" s="228"/>
      <c r="P5" s="226" t="s">
        <v>427</v>
      </c>
      <c r="Q5" s="227"/>
      <c r="R5" s="227"/>
      <c r="S5" s="228"/>
      <c r="T5" s="223" t="s">
        <v>101</v>
      </c>
      <c r="U5" s="222" t="s">
        <v>162</v>
      </c>
      <c r="V5" s="221" t="s">
        <v>102</v>
      </c>
      <c r="W5" s="221"/>
      <c r="X5" s="222" t="s">
        <v>401</v>
      </c>
      <c r="AB5" s="23"/>
      <c r="AF5" s="24"/>
    </row>
    <row r="6" spans="2:32" ht="18" customHeight="1" x14ac:dyDescent="0.3">
      <c r="B6" s="221"/>
      <c r="C6" s="221"/>
      <c r="D6" s="221"/>
      <c r="E6" s="221"/>
      <c r="F6" s="221"/>
      <c r="G6" s="221"/>
      <c r="H6" s="221"/>
      <c r="I6" s="221"/>
      <c r="J6" s="221"/>
      <c r="K6" s="221"/>
      <c r="L6" s="229"/>
      <c r="M6" s="230"/>
      <c r="N6" s="230"/>
      <c r="O6" s="231"/>
      <c r="P6" s="229"/>
      <c r="Q6" s="230"/>
      <c r="R6" s="230"/>
      <c r="S6" s="231"/>
      <c r="T6" s="224"/>
      <c r="U6" s="222"/>
      <c r="V6" s="221"/>
      <c r="W6" s="221"/>
      <c r="X6" s="222"/>
      <c r="AB6" s="23"/>
      <c r="AF6" s="24"/>
    </row>
    <row r="7" spans="2:32" ht="9" customHeight="1" x14ac:dyDescent="0.3">
      <c r="B7" s="221"/>
      <c r="C7" s="221"/>
      <c r="D7" s="221"/>
      <c r="E7" s="221"/>
      <c r="F7" s="221"/>
      <c r="G7" s="221"/>
      <c r="H7" s="221"/>
      <c r="I7" s="221"/>
      <c r="J7" s="221"/>
      <c r="K7" s="221"/>
      <c r="L7" s="219" t="s">
        <v>47</v>
      </c>
      <c r="M7" s="219" t="s">
        <v>44</v>
      </c>
      <c r="N7" s="219" t="s">
        <v>46</v>
      </c>
      <c r="O7" s="219" t="s">
        <v>45</v>
      </c>
      <c r="P7" s="219" t="s">
        <v>47</v>
      </c>
      <c r="Q7" s="219" t="s">
        <v>44</v>
      </c>
      <c r="R7" s="219" t="s">
        <v>46</v>
      </c>
      <c r="S7" s="219" t="s">
        <v>45</v>
      </c>
      <c r="T7" s="224"/>
      <c r="U7" s="222"/>
      <c r="V7" s="221" t="s">
        <v>102</v>
      </c>
      <c r="W7" s="221" t="s">
        <v>88</v>
      </c>
      <c r="X7" s="222"/>
      <c r="AB7" s="15"/>
      <c r="AC7" s="15"/>
      <c r="AD7" s="15"/>
      <c r="AE7" s="15"/>
      <c r="AF7" s="24"/>
    </row>
    <row r="8" spans="2:32" ht="41.25" customHeight="1" x14ac:dyDescent="0.3">
      <c r="B8" s="120" t="s">
        <v>156</v>
      </c>
      <c r="C8" s="120" t="s">
        <v>388</v>
      </c>
      <c r="D8" s="120" t="s">
        <v>224</v>
      </c>
      <c r="E8" s="120" t="s">
        <v>159</v>
      </c>
      <c r="F8" s="120" t="s">
        <v>182</v>
      </c>
      <c r="G8" s="120" t="s">
        <v>183</v>
      </c>
      <c r="H8" s="120" t="s">
        <v>181</v>
      </c>
      <c r="I8" s="120" t="s">
        <v>391</v>
      </c>
      <c r="J8" s="221"/>
      <c r="K8" s="221"/>
      <c r="L8" s="220"/>
      <c r="M8" s="220"/>
      <c r="N8" s="220"/>
      <c r="O8" s="220"/>
      <c r="P8" s="220"/>
      <c r="Q8" s="220"/>
      <c r="R8" s="220"/>
      <c r="S8" s="220"/>
      <c r="T8" s="225"/>
      <c r="U8" s="222"/>
      <c r="V8" s="221"/>
      <c r="W8" s="221"/>
      <c r="X8" s="222" t="s">
        <v>401</v>
      </c>
      <c r="AB8" s="24"/>
      <c r="AC8" s="24"/>
      <c r="AD8" s="24"/>
      <c r="AE8" s="24"/>
      <c r="AF8" s="24"/>
    </row>
    <row r="9" spans="2:32" ht="56.25" customHeight="1" x14ac:dyDescent="0.3">
      <c r="B9" s="93">
        <f>ROW(A9)-8</f>
        <v>1</v>
      </c>
      <c r="C9" s="93" t="str">
        <f>'R I'!C7</f>
        <v>Transversal a Todas las Áreas y/o Unidades</v>
      </c>
      <c r="D9" s="93" t="str">
        <f>'R I'!D7</f>
        <v>Identificación y Análisis de Señales de Alerta y Análisis, Determinación y Reporte de Operaciones Inusuales</v>
      </c>
      <c r="E9" s="74" t="str">
        <f>IFERROR(VLOOKUP(B9,'R I'!E7:G30,3,0)," ")</f>
        <v>Servidores Públicos y/o Contratistas</v>
      </c>
      <c r="F9" s="93" t="str">
        <f t="shared" ref="F9:F23" si="0">VLOOKUP(B9,codr,3,FALSE)</f>
        <v>Servidores Públicos y/o Contratistas</v>
      </c>
      <c r="G9" s="93" t="str">
        <f t="shared" ref="G9:G23" si="1">VLOOKUP(B9,codr,4,FALSE)</f>
        <v>LAFT16</v>
      </c>
      <c r="H9" s="93" t="str">
        <f t="shared" ref="H9:H23" si="2">VLOOKUP(B9,ctrl,30,0)</f>
        <v>EXCELENTE</v>
      </c>
      <c r="I9" s="93" t="str">
        <f t="shared" ref="I9:I23" si="3">VLOOKUP(B9,codr,6,0)</f>
        <v>Posibilidad de no identificar señales de alerta y/u operaciones inusuales cualitativas y cuantitativas dentro de los movimientos de los Trabajadores Oficiales, Trabajadores de Libre Nombramiento y Remoción, Contratistas, Proveedores, Gestores, Distribuidores y demás Contrapartes.</v>
      </c>
      <c r="J9" s="136">
        <f t="shared" ref="J9:J23" si="4">VLOOKUP($B9,codr,13,0)</f>
        <v>2</v>
      </c>
      <c r="K9" s="136">
        <f t="shared" ref="K9:K23" si="5">VLOOKUP($B9,codr,23,0)</f>
        <v>3.75</v>
      </c>
      <c r="L9" s="136">
        <f>'R I'!W7</f>
        <v>2</v>
      </c>
      <c r="M9" s="136">
        <f>'R I'!X7</f>
        <v>5</v>
      </c>
      <c r="N9" s="136">
        <f>'R I'!Y7</f>
        <v>3</v>
      </c>
      <c r="O9" s="136">
        <f>'R I'!Z7</f>
        <v>5</v>
      </c>
      <c r="P9" s="137">
        <f>IFERROR(L9*LOOKUP($H9,Controles!$AT$9:$AT$12,Controles!$AU$9:$AU$12),0)</f>
        <v>0.4</v>
      </c>
      <c r="Q9" s="137">
        <f>IFERROR(M9*LOOKUP($H9,Controles!$AT$9:$AT$12,Controles!$AU$9:$AU$12),0)</f>
        <v>1</v>
      </c>
      <c r="R9" s="137">
        <f>IFERROR(N9*LOOKUP($H9,Controles!$AT$9:$AT$12,Controles!$AU$9:$AU$12),0)</f>
        <v>0.60000000000000009</v>
      </c>
      <c r="S9" s="137">
        <f>IFERROR(O9*LOOKUP($H9,Controles!$AT$9:$AT$12,Controles!$AU$9:$AU$12),0)</f>
        <v>1</v>
      </c>
      <c r="T9" s="121">
        <f>IFERROR(ROUND(J9*LOOKUP(H9,Controles!$AT$9:$AT$12,Controles!$AU$9:$AU$12),0),0)</f>
        <v>0</v>
      </c>
      <c r="U9" s="121">
        <f>IFERROR(ROUND(K9*LOOKUP(H9,Controles!$AT$9:$AT$12,Controles!$AU$9:$AU$12),0),0)</f>
        <v>1</v>
      </c>
      <c r="V9" s="122">
        <f t="shared" ref="V9:V23" si="6">T9*U9</f>
        <v>0</v>
      </c>
      <c r="W9" s="123" t="str">
        <f t="shared" ref="W9:W21" si="7">IF(AND(V9&gt;0,V9&lt;8),"BAJO",IF(AND(V9&gt;=8,V9&lt;14),"MEDIO",IF(AND(V9&gt;=14,V9&lt;20),"ALTO",IF(AND(V9&gt;=20,V9&lt;26),"EXTREMO",""))))</f>
        <v/>
      </c>
      <c r="X9" s="121" t="str">
        <f t="shared" ref="X9:X23" si="8">IFERROR(IF(VLOOKUP(W9,RIEGO,2,FALSE)=0,"",VLOOKUP(W9,RIEGO,2,FALSE)),"")</f>
        <v/>
      </c>
    </row>
    <row r="10" spans="2:32" ht="100.8" x14ac:dyDescent="0.3">
      <c r="B10" s="93">
        <f t="shared" ref="B10:B23" si="9">ROW(A10)-8</f>
        <v>2</v>
      </c>
      <c r="C10" s="93" t="str">
        <f>'R I'!C8</f>
        <v>Transversal a Todas las Áreas y/o Unidades</v>
      </c>
      <c r="D10" s="93" t="str">
        <f>'R I'!D8</f>
        <v>Atención a Solicitudes y Requerimientos de Información por Parte de Autoridades Competentes y Entes Externos.</v>
      </c>
      <c r="E10" s="74" t="str">
        <f>IFERROR(VLOOKUP(B10,'R I'!E8:G31,3,0)," ")</f>
        <v>Servidores Públicos y/o Contratistas</v>
      </c>
      <c r="F10" s="93" t="str">
        <f t="shared" si="0"/>
        <v>Servidores Públicos y/o Contratistas</v>
      </c>
      <c r="G10" s="93" t="str">
        <f t="shared" si="1"/>
        <v>LAFT16</v>
      </c>
      <c r="H10" s="93" t="str">
        <f t="shared" si="2"/>
        <v>EXCELENTE</v>
      </c>
      <c r="I10" s="93" t="str">
        <f t="shared" si="3"/>
        <v>Posibilidad de entregar información incompleta o errónea al área encargada de responder un requerimiento sobre LA/FT/FPADM realizado por un ente de control. (sobre todas las contrapartes)</v>
      </c>
      <c r="J10" s="136">
        <f t="shared" si="4"/>
        <v>3</v>
      </c>
      <c r="K10" s="136">
        <f t="shared" si="5"/>
        <v>4</v>
      </c>
      <c r="L10" s="136">
        <f>'R I'!W8</f>
        <v>1</v>
      </c>
      <c r="M10" s="136">
        <f>'R I'!X8</f>
        <v>5</v>
      </c>
      <c r="N10" s="136">
        <f>'R I'!Y8</f>
        <v>4</v>
      </c>
      <c r="O10" s="136">
        <f>'R I'!Z8</f>
        <v>3</v>
      </c>
      <c r="P10" s="137">
        <f>IFERROR(L10*LOOKUP($H10,Controles!$AT$9:$AT$12,Controles!$AU$9:$AU$12),0)</f>
        <v>0.2</v>
      </c>
      <c r="Q10" s="137">
        <f>IFERROR(M10*LOOKUP($H10,Controles!$AT$9:$AT$12,Controles!$AU$9:$AU$12),0)</f>
        <v>1</v>
      </c>
      <c r="R10" s="137">
        <f>IFERROR(N10*LOOKUP($H10,Controles!$AT$9:$AT$12,Controles!$AU$9:$AU$12),0)</f>
        <v>0.8</v>
      </c>
      <c r="S10" s="137">
        <f>IFERROR(O10*LOOKUP($H10,Controles!$AT$9:$AT$12,Controles!$AU$9:$AU$12),0)</f>
        <v>0.60000000000000009</v>
      </c>
      <c r="T10" s="121">
        <f t="shared" ref="T10:T23" si="10">ROUND(IF(H10="CRITICA",J10,IF(H10="BAJA",J10*90%,IF(H10="BUENA",J10*50%,IF(H10="EXCELENTE",J10*20%,0)))),0)</f>
        <v>1</v>
      </c>
      <c r="U10" s="121">
        <f>IFERROR(ROUND(K10*LOOKUP(H10,Controles!$AT$9:$AT$12,Controles!$AU$9:$AU$12),0),0)</f>
        <v>1</v>
      </c>
      <c r="V10" s="122">
        <f t="shared" si="6"/>
        <v>1</v>
      </c>
      <c r="W10" s="123" t="str">
        <f t="shared" si="7"/>
        <v>BAJO</v>
      </c>
      <c r="X10" s="121" t="str">
        <f t="shared" si="8"/>
        <v>Tratar</v>
      </c>
    </row>
    <row r="11" spans="2:32" ht="54" customHeight="1" x14ac:dyDescent="0.3">
      <c r="B11" s="93">
        <f t="shared" si="9"/>
        <v>3</v>
      </c>
      <c r="C11" s="93" t="str">
        <f>'R I'!C9</f>
        <v>Gestión Financiera y Contable</v>
      </c>
      <c r="D11" s="93" t="str">
        <f>'R I'!D9</f>
        <v>Inversión de Excedentes de Liquidez y CDT´S en Custodia</v>
      </c>
      <c r="E11" s="74" t="str">
        <f>IFERROR(VLOOKUP(B11,'R I'!E9:G32,3,0)," ")</f>
        <v>Productos y/o servicios</v>
      </c>
      <c r="F11" s="93" t="str">
        <f t="shared" si="0"/>
        <v>Productos y/o servicios</v>
      </c>
      <c r="G11" s="93" t="str">
        <f t="shared" si="1"/>
        <v>LAFT2</v>
      </c>
      <c r="H11" s="93" t="str">
        <f t="shared" si="2"/>
        <v>EXCELENTE</v>
      </c>
      <c r="I11" s="93" t="str">
        <f t="shared" si="3"/>
        <v>Posibilidad de tener relaciones contractuales, legales, comerciales, alianzas o convenios con contrapartes relacionadas con delitos de LA/FT/FPADM y/o que se encuentren en listas vinculantes y de control LA/FT/FPADM.</v>
      </c>
      <c r="J11" s="136">
        <f t="shared" si="4"/>
        <v>3</v>
      </c>
      <c r="K11" s="136">
        <f t="shared" si="5"/>
        <v>3.25</v>
      </c>
      <c r="L11" s="136">
        <f>'R I'!W9</f>
        <v>4</v>
      </c>
      <c r="M11" s="136">
        <f>'R I'!X9</f>
        <v>2</v>
      </c>
      <c r="N11" s="136">
        <f>'R I'!Y9</f>
        <v>4</v>
      </c>
      <c r="O11" s="136">
        <f>'R I'!Z9</f>
        <v>3</v>
      </c>
      <c r="P11" s="137">
        <f>IFERROR(L11*LOOKUP($H11,Controles!$AT$9:$AT$12,Controles!$AU$9:$AU$12),0)</f>
        <v>0.8</v>
      </c>
      <c r="Q11" s="137">
        <f>IFERROR(M11*LOOKUP($H11,Controles!$AT$9:$AT$12,Controles!$AU$9:$AU$12),0)</f>
        <v>0.4</v>
      </c>
      <c r="R11" s="137">
        <f>IFERROR(N11*LOOKUP($H11,Controles!$AT$9:$AT$12,Controles!$AU$9:$AU$12),0)</f>
        <v>0.8</v>
      </c>
      <c r="S11" s="137">
        <f>IFERROR(O11*LOOKUP($H11,Controles!$AT$9:$AT$12,Controles!$AU$9:$AU$12),0)</f>
        <v>0.60000000000000009</v>
      </c>
      <c r="T11" s="121">
        <f t="shared" si="10"/>
        <v>1</v>
      </c>
      <c r="U11" s="121">
        <f>IFERROR(ROUND(K11*LOOKUP(H11,Controles!$AT$9:$AT$12,Controles!$AU$9:$AU$12),0),0)</f>
        <v>1</v>
      </c>
      <c r="V11" s="122">
        <f t="shared" si="6"/>
        <v>1</v>
      </c>
      <c r="W11" s="123" t="str">
        <f t="shared" si="7"/>
        <v>BAJO</v>
      </c>
      <c r="X11" s="121" t="str">
        <f t="shared" si="8"/>
        <v>Tratar</v>
      </c>
    </row>
    <row r="12" spans="2:32" ht="75" customHeight="1" x14ac:dyDescent="0.3">
      <c r="B12" s="93">
        <f t="shared" si="9"/>
        <v>4</v>
      </c>
      <c r="C12" s="93" t="str">
        <f>'R I'!C10</f>
        <v>Gestión Financiera y Contable</v>
      </c>
      <c r="D12" s="93" t="str">
        <f>'R I'!D10</f>
        <v>Gestión de Egresos y Gestión de Ingresos</v>
      </c>
      <c r="E12" s="74" t="str">
        <f>IFERROR(VLOOKUP(B12,'R I'!E10:G33,3,0)," ")</f>
        <v>Canales comerciales y/o transaccionales</v>
      </c>
      <c r="F12" s="93" t="str">
        <f t="shared" si="0"/>
        <v>Canales comerciales y/o transaccionales</v>
      </c>
      <c r="G12" s="93" t="str">
        <f t="shared" si="1"/>
        <v>LAFT2</v>
      </c>
      <c r="H12" s="93" t="str">
        <f t="shared" si="2"/>
        <v>EXCELENTE</v>
      </c>
      <c r="I12" s="93" t="str">
        <f t="shared" si="3"/>
        <v>Posibilidad de utilización de un canal comercial o transaccional de la Lotería  para realizar operaciones relacionadas con LA/FT/FPADM.</v>
      </c>
      <c r="J12" s="136">
        <f t="shared" si="4"/>
        <v>2</v>
      </c>
      <c r="K12" s="136">
        <f t="shared" si="5"/>
        <v>3.5</v>
      </c>
      <c r="L12" s="136">
        <f>'R I'!W10</f>
        <v>3</v>
      </c>
      <c r="M12" s="136">
        <f>'R I'!X10</f>
        <v>3</v>
      </c>
      <c r="N12" s="136">
        <f>'R I'!Y10</f>
        <v>4</v>
      </c>
      <c r="O12" s="136">
        <f>'R I'!Z10</f>
        <v>4</v>
      </c>
      <c r="P12" s="137">
        <f>IFERROR(L12*LOOKUP($H12,Controles!$AT$9:$AT$12,Controles!$AU$9:$AU$12),0)</f>
        <v>0.60000000000000009</v>
      </c>
      <c r="Q12" s="137">
        <f>IFERROR(M12*LOOKUP($H12,Controles!$AT$9:$AT$12,Controles!$AU$9:$AU$12),0)</f>
        <v>0.60000000000000009</v>
      </c>
      <c r="R12" s="137">
        <f>IFERROR(N12*LOOKUP($H12,Controles!$AT$9:$AT$12,Controles!$AU$9:$AU$12),0)</f>
        <v>0.8</v>
      </c>
      <c r="S12" s="137">
        <f>IFERROR(O12*LOOKUP($H12,Controles!$AT$9:$AT$12,Controles!$AU$9:$AU$12),0)</f>
        <v>0.8</v>
      </c>
      <c r="T12" s="121">
        <f t="shared" si="10"/>
        <v>0</v>
      </c>
      <c r="U12" s="121">
        <f>IFERROR(ROUND(K12*LOOKUP(H12,Controles!$AT$9:$AT$12,Controles!$AU$9:$AU$12),0),0)</f>
        <v>1</v>
      </c>
      <c r="V12" s="122">
        <f t="shared" si="6"/>
        <v>0</v>
      </c>
      <c r="W12" s="123" t="str">
        <f t="shared" si="7"/>
        <v/>
      </c>
      <c r="X12" s="121" t="str">
        <f t="shared" si="8"/>
        <v/>
      </c>
    </row>
    <row r="13" spans="2:32" ht="72.75" customHeight="1" x14ac:dyDescent="0.3">
      <c r="B13" s="93">
        <f t="shared" si="9"/>
        <v>5</v>
      </c>
      <c r="C13" s="93" t="str">
        <f>'R I'!C11</f>
        <v>Gestión Financiera y Contable</v>
      </c>
      <c r="D13" s="93" t="str">
        <f>'R I'!D11</f>
        <v>Gestión de Ingresos</v>
      </c>
      <c r="E13" s="74" t="str">
        <f>IFERROR(VLOOKUP(B13,'R I'!E11:G34,3,0)," ")</f>
        <v>Contrapartes</v>
      </c>
      <c r="F13" s="93" t="str">
        <f t="shared" si="0"/>
        <v>Contrapartes</v>
      </c>
      <c r="G13" s="93" t="str">
        <f t="shared" si="1"/>
        <v>LAFT2</v>
      </c>
      <c r="H13" s="93" t="str">
        <f t="shared" si="2"/>
        <v>EXCELENTE</v>
      </c>
      <c r="I13" s="93" t="str">
        <f t="shared" si="3"/>
        <v>Posibilidad de recuperar valores en la gestión de cobro sin el conocimiento del origen de los fondos.</v>
      </c>
      <c r="J13" s="136">
        <f t="shared" si="4"/>
        <v>3</v>
      </c>
      <c r="K13" s="136">
        <f t="shared" si="5"/>
        <v>2.5</v>
      </c>
      <c r="L13" s="136" t="e">
        <f>'R I'!#REF!</f>
        <v>#REF!</v>
      </c>
      <c r="M13" s="136" t="e">
        <f>'R I'!#REF!</f>
        <v>#REF!</v>
      </c>
      <c r="N13" s="136" t="e">
        <f>'R I'!#REF!</f>
        <v>#REF!</v>
      </c>
      <c r="O13" s="136" t="e">
        <f>'R I'!#REF!</f>
        <v>#REF!</v>
      </c>
      <c r="P13" s="137">
        <f>IFERROR(L13*LOOKUP($H13,Controles!$AT$9:$AT$12,Controles!$AU$9:$AU$12),0)</f>
        <v>0</v>
      </c>
      <c r="Q13" s="137">
        <f>IFERROR(M13*LOOKUP($H13,Controles!$AT$9:$AT$12,Controles!$AU$9:$AU$12),0)</f>
        <v>0</v>
      </c>
      <c r="R13" s="137">
        <f>IFERROR(N13*LOOKUP($H13,Controles!$AT$9:$AT$12,Controles!$AU$9:$AU$12),0)</f>
        <v>0</v>
      </c>
      <c r="S13" s="137">
        <f>IFERROR(O13*LOOKUP($H13,Controles!$AT$9:$AT$12,Controles!$AU$9:$AU$12),0)</f>
        <v>0</v>
      </c>
      <c r="T13" s="121">
        <f t="shared" si="10"/>
        <v>1</v>
      </c>
      <c r="U13" s="121">
        <f>IFERROR(ROUND(K13*LOOKUP(H13,Controles!$AT$9:$AT$12,Controles!$AU$9:$AU$12),0),0)</f>
        <v>1</v>
      </c>
      <c r="V13" s="122">
        <f t="shared" si="6"/>
        <v>1</v>
      </c>
      <c r="W13" s="123" t="str">
        <f t="shared" si="7"/>
        <v>BAJO</v>
      </c>
      <c r="X13" s="121" t="str">
        <f t="shared" si="8"/>
        <v>Tratar</v>
      </c>
    </row>
    <row r="14" spans="2:32" ht="70.5" customHeight="1" x14ac:dyDescent="0.3">
      <c r="B14" s="93">
        <f t="shared" si="9"/>
        <v>6</v>
      </c>
      <c r="C14" s="93" t="str">
        <f>'R I'!C12</f>
        <v>Transversal a Todas las Áreas y/o Unidades</v>
      </c>
      <c r="D14" s="93" t="str">
        <f>'R I'!D12</f>
        <v>Transversal a Todas las Áreas y/o Unidades</v>
      </c>
      <c r="E14" s="74" t="str">
        <f>IFERROR(VLOOKUP(B14,'R I'!E12:G35,3,0)," ")</f>
        <v>Servidores Públicos y/o Contratistas</v>
      </c>
      <c r="F14" s="93" t="str">
        <f t="shared" si="0"/>
        <v>Servidores Públicos y/o Contratistas</v>
      </c>
      <c r="G14" s="93" t="str">
        <f t="shared" si="1"/>
        <v>LAFT16</v>
      </c>
      <c r="H14" s="93" t="str">
        <f t="shared" si="2"/>
        <v>BUENA</v>
      </c>
      <c r="I14" s="93" t="str">
        <f t="shared" si="3"/>
        <v>Posibilidad de ofrecimientos de dinero o dádivas a colaboradores de la Lotería para entregar, manipular, extraer, cambiar o transferir información de entidad o de sus clientes a terceros no vinculados a la Entidad con el proposito de realizar operaciones y/o actividades relacionadas con el riesgo LA/FT/FPADM.</v>
      </c>
      <c r="J14" s="136">
        <f t="shared" si="4"/>
        <v>2</v>
      </c>
      <c r="K14" s="136">
        <f t="shared" si="5"/>
        <v>2.25</v>
      </c>
      <c r="L14" s="136" t="e">
        <f>'R I'!#REF!</f>
        <v>#REF!</v>
      </c>
      <c r="M14" s="136" t="e">
        <f>'R I'!#REF!</f>
        <v>#REF!</v>
      </c>
      <c r="N14" s="136" t="e">
        <f>'R I'!#REF!</f>
        <v>#REF!</v>
      </c>
      <c r="O14" s="136" t="e">
        <f>'R I'!#REF!</f>
        <v>#REF!</v>
      </c>
      <c r="P14" s="137">
        <f>IFERROR(L14*LOOKUP($H14,Controles!$AT$9:$AT$12,Controles!$AU$9:$AU$12),0)</f>
        <v>0</v>
      </c>
      <c r="Q14" s="137">
        <f>IFERROR(M14*LOOKUP($H14,Controles!$AT$9:$AT$12,Controles!$AU$9:$AU$12),0)</f>
        <v>0</v>
      </c>
      <c r="R14" s="137">
        <f>IFERROR(N14*LOOKUP($H14,Controles!$AT$9:$AT$12,Controles!$AU$9:$AU$12),0)</f>
        <v>0</v>
      </c>
      <c r="S14" s="137">
        <f>IFERROR(O14*LOOKUP($H14,Controles!$AT$9:$AT$12,Controles!$AU$9:$AU$12),0)</f>
        <v>0</v>
      </c>
      <c r="T14" s="121">
        <f t="shared" si="10"/>
        <v>1</v>
      </c>
      <c r="U14" s="121">
        <f>IFERROR(ROUND(K14*LOOKUP(H14,Controles!$AT$9:$AT$12,Controles!$AU$9:$AU$12),0),0)</f>
        <v>1</v>
      </c>
      <c r="V14" s="122">
        <f t="shared" si="6"/>
        <v>1</v>
      </c>
      <c r="W14" s="123" t="str">
        <f t="shared" si="7"/>
        <v>BAJO</v>
      </c>
      <c r="X14" s="121" t="str">
        <f t="shared" si="8"/>
        <v>Tratar</v>
      </c>
    </row>
    <row r="15" spans="2:32" ht="71.25" customHeight="1" x14ac:dyDescent="0.3">
      <c r="B15" s="93">
        <f t="shared" si="9"/>
        <v>7</v>
      </c>
      <c r="C15" s="93" t="str">
        <f>'R I'!C13</f>
        <v>Explotación de JSA - Control Inspección y Fiscalización - Gestión de Talento Humano - Gestión Jurídica</v>
      </c>
      <c r="D15" s="93" t="str">
        <f>'R I'!D13</f>
        <v>Vinculación PEP´S y/o Alto Riesgo y Debida Diligencia Ampliada</v>
      </c>
      <c r="E15" s="74" t="str">
        <f>IFERROR(VLOOKUP(B15,'R I'!E13:G36,3,0)," ")</f>
        <v>Servidores Públicos y/o Contratistas</v>
      </c>
      <c r="F15" s="93" t="str">
        <f t="shared" si="0"/>
        <v>Servidores Públicos y/o Contratistas</v>
      </c>
      <c r="G15" s="93" t="str">
        <f t="shared" si="1"/>
        <v>LAFT19</v>
      </c>
      <c r="H15" s="93" t="str">
        <f t="shared" si="2"/>
        <v>EXCELENTE</v>
      </c>
      <c r="I15" s="93" t="str">
        <f t="shared" si="3"/>
        <v>Posibilidad de tener algún tipo de vínculo contractual con Personas Expuestas Políticamente (PEP) que se puedan aprovechar de su condición para realizar actividades de LA/FT/FPADM. (No es problemático tener esta relación contractual, el problema está en desconocerla)</v>
      </c>
      <c r="J15" s="136">
        <f t="shared" si="4"/>
        <v>1</v>
      </c>
      <c r="K15" s="136">
        <f t="shared" si="5"/>
        <v>3</v>
      </c>
      <c r="L15" s="136" t="e">
        <f>'R I'!#REF!</f>
        <v>#REF!</v>
      </c>
      <c r="M15" s="136" t="e">
        <f>'R I'!#REF!</f>
        <v>#REF!</v>
      </c>
      <c r="N15" s="136" t="e">
        <f>'R I'!#REF!</f>
        <v>#REF!</v>
      </c>
      <c r="O15" s="136" t="e">
        <f>'R I'!#REF!</f>
        <v>#REF!</v>
      </c>
      <c r="P15" s="137">
        <f>IFERROR(L15*LOOKUP($H15,Controles!$AT$9:$AT$12,Controles!$AU$9:$AU$12),0)</f>
        <v>0</v>
      </c>
      <c r="Q15" s="137">
        <f>IFERROR(M15*LOOKUP($H15,Controles!$AT$9:$AT$12,Controles!$AU$9:$AU$12),0)</f>
        <v>0</v>
      </c>
      <c r="R15" s="137">
        <f>IFERROR(N15*LOOKUP($H15,Controles!$AT$9:$AT$12,Controles!$AU$9:$AU$12),0)</f>
        <v>0</v>
      </c>
      <c r="S15" s="137">
        <f>IFERROR(O15*LOOKUP($H15,Controles!$AT$9:$AT$12,Controles!$AU$9:$AU$12),0)</f>
        <v>0</v>
      </c>
      <c r="T15" s="121">
        <f t="shared" si="10"/>
        <v>0</v>
      </c>
      <c r="U15" s="121">
        <f>IFERROR(ROUND(K15*LOOKUP(H15,Controles!$AT$9:$AT$12,Controles!$AU$9:$AU$12),0),0)</f>
        <v>1</v>
      </c>
      <c r="V15" s="122">
        <f t="shared" si="6"/>
        <v>0</v>
      </c>
      <c r="W15" s="123" t="str">
        <f t="shared" si="7"/>
        <v/>
      </c>
      <c r="X15" s="121" t="str">
        <f t="shared" si="8"/>
        <v/>
      </c>
    </row>
    <row r="16" spans="2:32" ht="74.25" customHeight="1" x14ac:dyDescent="0.3">
      <c r="B16" s="93">
        <f t="shared" si="9"/>
        <v>8</v>
      </c>
      <c r="C16" s="93" t="str">
        <f>'R I'!C14</f>
        <v>Planeación y Direccionamiento Estratégico</v>
      </c>
      <c r="D16" s="93" t="str">
        <f>'R I'!D14</f>
        <v>Plan Estratégico</v>
      </c>
      <c r="E16" s="74" t="str">
        <f>IFERROR(VLOOKUP(B16,'R I'!E14:G37,3,0)," ")</f>
        <v>Servidores Públicos y/o Contratistas</v>
      </c>
      <c r="F16" s="93" t="str">
        <f t="shared" si="0"/>
        <v>Servidores Públicos y/o Contratistas</v>
      </c>
      <c r="G16" s="93" t="str">
        <f t="shared" si="1"/>
        <v>LAFT13</v>
      </c>
      <c r="H16" s="93" t="str">
        <f t="shared" si="2"/>
        <v>EXCELENTE</v>
      </c>
      <c r="I16" s="93" t="str">
        <f t="shared" si="3"/>
        <v>Posibilidad de no incluir en el Plan Estratégico de la Lotería, el tema de LA/FT/FPADM.</v>
      </c>
      <c r="J16" s="136">
        <f t="shared" si="4"/>
        <v>2</v>
      </c>
      <c r="K16" s="136">
        <f t="shared" si="5"/>
        <v>3.333333333333333</v>
      </c>
      <c r="L16" s="136" t="e">
        <f>'R I'!#REF!</f>
        <v>#REF!</v>
      </c>
      <c r="M16" s="136" t="e">
        <f>'R I'!#REF!</f>
        <v>#REF!</v>
      </c>
      <c r="N16" s="136" t="e">
        <f>'R I'!#REF!</f>
        <v>#REF!</v>
      </c>
      <c r="O16" s="136" t="e">
        <f>'R I'!#REF!</f>
        <v>#REF!</v>
      </c>
      <c r="P16" s="137">
        <f>IFERROR(L16*LOOKUP($H16,Controles!$AT$9:$AT$12,Controles!$AU$9:$AU$12),0)</f>
        <v>0</v>
      </c>
      <c r="Q16" s="137">
        <f>IFERROR(M16*LOOKUP($H16,Controles!$AT$9:$AT$12,Controles!$AU$9:$AU$12),0)</f>
        <v>0</v>
      </c>
      <c r="R16" s="137">
        <f>IFERROR(N16*LOOKUP($H16,Controles!$AT$9:$AT$12,Controles!$AU$9:$AU$12),0)</f>
        <v>0</v>
      </c>
      <c r="S16" s="137">
        <f>IFERROR(O16*LOOKUP($H16,Controles!$AT$9:$AT$12,Controles!$AU$9:$AU$12),0)</f>
        <v>0</v>
      </c>
      <c r="T16" s="121">
        <f t="shared" si="10"/>
        <v>0</v>
      </c>
      <c r="U16" s="121">
        <f>IFERROR(ROUND(K16*LOOKUP(H16,Controles!$AT$9:$AT$12,Controles!$AU$9:$AU$12),0),0)</f>
        <v>1</v>
      </c>
      <c r="V16" s="122">
        <f t="shared" si="6"/>
        <v>0</v>
      </c>
      <c r="W16" s="123" t="str">
        <f t="shared" si="7"/>
        <v/>
      </c>
      <c r="X16" s="121" t="str">
        <f t="shared" si="8"/>
        <v/>
      </c>
    </row>
    <row r="17" spans="2:27" ht="69.75" customHeight="1" x14ac:dyDescent="0.3">
      <c r="B17" s="93">
        <f t="shared" si="9"/>
        <v>9</v>
      </c>
      <c r="C17" s="93" t="str">
        <f>'R I'!C15</f>
        <v>Gestión de Comunicaciones</v>
      </c>
      <c r="D17" s="93" t="str">
        <f>'R I'!D15</f>
        <v>Gestión de Comunicaciones</v>
      </c>
      <c r="E17" s="74" t="str">
        <f>IFERROR(VLOOKUP(B17,'R I'!E15:G38,3,0)," ")</f>
        <v>Canales comerciales y/o transaccionales</v>
      </c>
      <c r="F17" s="93" t="str">
        <f t="shared" si="0"/>
        <v>Canales comerciales y/o transaccionales</v>
      </c>
      <c r="G17" s="93" t="str">
        <f t="shared" si="1"/>
        <v>LAFT7</v>
      </c>
      <c r="H17" s="93" t="str">
        <f t="shared" si="2"/>
        <v>BAJA</v>
      </c>
      <c r="I17" s="93" t="str">
        <f t="shared" si="3"/>
        <v>Posibilidad de tener vínculo contractual con contrapartes internas y externas sobre los que se ha emitido información negativa en medios de comunicación, están o han estado incluídos en procesos judiciales o administrativos por delitos relacionados con LA/FT/FPADM, que puedan permear a la Lotería de Bogotá</v>
      </c>
      <c r="J17" s="136">
        <f t="shared" si="4"/>
        <v>3</v>
      </c>
      <c r="K17" s="136">
        <f t="shared" si="5"/>
        <v>2.75</v>
      </c>
      <c r="L17" s="136">
        <f>'R I'!W11</f>
        <v>3</v>
      </c>
      <c r="M17" s="136">
        <f>'R I'!X11</f>
        <v>3</v>
      </c>
      <c r="N17" s="136">
        <f>'R I'!Y11</f>
        <v>1</v>
      </c>
      <c r="O17" s="136">
        <f>'R I'!Z11</f>
        <v>3</v>
      </c>
      <c r="P17" s="137">
        <f>IFERROR(L17*LOOKUP($H17,Controles!$AT$9:$AT$12,Controles!$AU$9:$AU$12),0)</f>
        <v>2.7</v>
      </c>
      <c r="Q17" s="137">
        <f>IFERROR(M17*LOOKUP($H17,Controles!$AT$9:$AT$12,Controles!$AU$9:$AU$12),0)</f>
        <v>2.7</v>
      </c>
      <c r="R17" s="137">
        <f>IFERROR(N17*LOOKUP($H17,Controles!$AT$9:$AT$12,Controles!$AU$9:$AU$12),0)</f>
        <v>0.9</v>
      </c>
      <c r="S17" s="137">
        <f>IFERROR(O17*LOOKUP($H17,Controles!$AT$9:$AT$12,Controles!$AU$9:$AU$12),0)</f>
        <v>2.7</v>
      </c>
      <c r="T17" s="121">
        <f t="shared" si="10"/>
        <v>3</v>
      </c>
      <c r="U17" s="121">
        <f>IFERROR(ROUND(K17*LOOKUP(H17,Controles!$AT$9:$AT$12,Controles!$AU$9:$AU$12),0),0)</f>
        <v>2</v>
      </c>
      <c r="V17" s="122">
        <f t="shared" si="6"/>
        <v>6</v>
      </c>
      <c r="W17" s="123" t="str">
        <f t="shared" si="7"/>
        <v>BAJO</v>
      </c>
      <c r="X17" s="121" t="str">
        <f t="shared" si="8"/>
        <v>Tratar</v>
      </c>
    </row>
    <row r="18" spans="2:27" ht="68.25" customHeight="1" x14ac:dyDescent="0.3">
      <c r="B18" s="93">
        <f t="shared" si="9"/>
        <v>10</v>
      </c>
      <c r="C18" s="93" t="str">
        <f>'R I'!C16</f>
        <v>Gestión de las Tecnologías y la Información</v>
      </c>
      <c r="D18" s="93" t="str">
        <f>'R I'!D16</f>
        <v>Administración de Usuarios</v>
      </c>
      <c r="E18" s="74" t="str">
        <f>IFERROR(VLOOKUP(B18,'R I'!E16:G39,3,0)," ")</f>
        <v>Clientes</v>
      </c>
      <c r="F18" s="93" t="str">
        <f t="shared" si="0"/>
        <v>Clientes</v>
      </c>
      <c r="G18" s="93" t="str">
        <f t="shared" si="1"/>
        <v>LAFT12</v>
      </c>
      <c r="H18" s="93" t="str">
        <f t="shared" si="2"/>
        <v>EXCELENTE</v>
      </c>
      <c r="I18" s="93" t="str">
        <f t="shared" si="3"/>
        <v xml:space="preserve">Posibilidad de pérdida y/o extracción de información relacionada con las bases de datos de la Lotería, que pueda ser utilizada por terceros para realizar actividades de LA/FT/FPADM. </v>
      </c>
      <c r="J18" s="136">
        <f t="shared" si="4"/>
        <v>3</v>
      </c>
      <c r="K18" s="136">
        <f t="shared" si="5"/>
        <v>3.5</v>
      </c>
      <c r="L18" s="136" t="e">
        <f>'R I'!#REF!</f>
        <v>#REF!</v>
      </c>
      <c r="M18" s="136" t="e">
        <f>'R I'!#REF!</f>
        <v>#REF!</v>
      </c>
      <c r="N18" s="136" t="e">
        <f>'R I'!#REF!</f>
        <v>#REF!</v>
      </c>
      <c r="O18" s="136" t="e">
        <f>'R I'!#REF!</f>
        <v>#REF!</v>
      </c>
      <c r="P18" s="137">
        <f>IFERROR(L18*LOOKUP($H18,Controles!$AT$9:$AT$12,Controles!$AU$9:$AU$12),0)</f>
        <v>0</v>
      </c>
      <c r="Q18" s="137">
        <f>IFERROR(M18*LOOKUP($H18,Controles!$AT$9:$AT$12,Controles!$AU$9:$AU$12),0)</f>
        <v>0</v>
      </c>
      <c r="R18" s="137">
        <f>IFERROR(N18*LOOKUP($H18,Controles!$AT$9:$AT$12,Controles!$AU$9:$AU$12),0)</f>
        <v>0</v>
      </c>
      <c r="S18" s="137">
        <f>IFERROR(O18*LOOKUP($H18,Controles!$AT$9:$AT$12,Controles!$AU$9:$AU$12),0)</f>
        <v>0</v>
      </c>
      <c r="T18" s="121">
        <f t="shared" si="10"/>
        <v>1</v>
      </c>
      <c r="U18" s="121">
        <f>IFERROR(ROUND(K18*LOOKUP(H18,Controles!$AT$9:$AT$12,Controles!$AU$9:$AU$12),0),0)</f>
        <v>1</v>
      </c>
      <c r="V18" s="122">
        <f t="shared" si="6"/>
        <v>1</v>
      </c>
      <c r="W18" s="123" t="str">
        <f t="shared" si="7"/>
        <v>BAJO</v>
      </c>
      <c r="X18" s="121" t="str">
        <f t="shared" si="8"/>
        <v>Tratar</v>
      </c>
      <c r="Y18" s="32"/>
      <c r="Z18" s="33">
        <f>IFERROR(AVERAGEIF($F$9:$F$1048576,"LAFT16",$T$9:$T$1048576),0)</f>
        <v>0</v>
      </c>
      <c r="AA18" s="33">
        <f>IFERROR(AVERAGEIF($F$9:$F$1048576,"LAFT16",$U$9:$U$1048576),0)</f>
        <v>0</v>
      </c>
    </row>
    <row r="19" spans="2:27" ht="74.25" customHeight="1" x14ac:dyDescent="0.3">
      <c r="B19" s="93">
        <f t="shared" si="9"/>
        <v>11</v>
      </c>
      <c r="C19" s="93" t="str">
        <f>'R I'!C17</f>
        <v>Gestión de las Tecnologías y la Información</v>
      </c>
      <c r="D19" s="93" t="str">
        <f>'R I'!D17</f>
        <v>Mantenimiento de Infraestructura</v>
      </c>
      <c r="E19" s="74" t="str">
        <f>IFERROR(VLOOKUP(B19,'R I'!E17:G40,3,0)," ")</f>
        <v>Clientes</v>
      </c>
      <c r="F19" s="93" t="str">
        <f t="shared" si="0"/>
        <v>Clientes</v>
      </c>
      <c r="G19" s="93" t="str">
        <f t="shared" si="1"/>
        <v>LAFT12</v>
      </c>
      <c r="H19" s="93" t="str">
        <f t="shared" si="2"/>
        <v>EXCELENTE</v>
      </c>
      <c r="I19" s="93" t="str">
        <f t="shared" si="3"/>
        <v>Posibilidad de pagar premios a usuarios y/o clientes en la página web de la Lotería o de manera tradicional, sin verificar la identidad del ganador y/o que este relacionado en actividades de LA/FT/FPADM.</v>
      </c>
      <c r="J19" s="136">
        <f t="shared" si="4"/>
        <v>4</v>
      </c>
      <c r="K19" s="136">
        <f t="shared" si="5"/>
        <v>3.5</v>
      </c>
      <c r="L19" s="136" t="e">
        <f>'R I'!#REF!</f>
        <v>#REF!</v>
      </c>
      <c r="M19" s="136" t="e">
        <f>'R I'!#REF!</f>
        <v>#REF!</v>
      </c>
      <c r="N19" s="136" t="e">
        <f>'R I'!#REF!</f>
        <v>#REF!</v>
      </c>
      <c r="O19" s="136" t="e">
        <f>'R I'!#REF!</f>
        <v>#REF!</v>
      </c>
      <c r="P19" s="137">
        <f>IFERROR(L19*LOOKUP($H19,Controles!$AT$9:$AT$12,Controles!$AU$9:$AU$12),0)</f>
        <v>0</v>
      </c>
      <c r="Q19" s="137">
        <f>IFERROR(M19*LOOKUP($H19,Controles!$AT$9:$AT$12,Controles!$AU$9:$AU$12),0)</f>
        <v>0</v>
      </c>
      <c r="R19" s="137">
        <f>IFERROR(N19*LOOKUP($H19,Controles!$AT$9:$AT$12,Controles!$AU$9:$AU$12),0)</f>
        <v>0</v>
      </c>
      <c r="S19" s="137">
        <f>IFERROR(O19*LOOKUP($H19,Controles!$AT$9:$AT$12,Controles!$AU$9:$AU$12),0)</f>
        <v>0</v>
      </c>
      <c r="T19" s="121">
        <f t="shared" si="10"/>
        <v>1</v>
      </c>
      <c r="U19" s="121">
        <f>IFERROR(ROUND(K19*LOOKUP(H19,Controles!$AT$9:$AT$12,Controles!$AU$9:$AU$12),0),0)</f>
        <v>1</v>
      </c>
      <c r="V19" s="122">
        <f t="shared" si="6"/>
        <v>1</v>
      </c>
      <c r="W19" s="123" t="str">
        <f t="shared" si="7"/>
        <v>BAJO</v>
      </c>
      <c r="X19" s="121" t="str">
        <f t="shared" si="8"/>
        <v>Tratar</v>
      </c>
    </row>
    <row r="20" spans="2:27" ht="71.25" customHeight="1" x14ac:dyDescent="0.3">
      <c r="B20" s="93">
        <f t="shared" si="9"/>
        <v>12</v>
      </c>
      <c r="C20" s="93" t="str">
        <f>'R I'!C18</f>
        <v xml:space="preserve">Explotación de JSA </v>
      </c>
      <c r="D20" s="93" t="str">
        <f>'R I'!D18</f>
        <v>Recepción y Validación de Premios</v>
      </c>
      <c r="E20" s="74" t="str">
        <f>IFERROR(VLOOKUP(B20,'R I'!E18:G41,3,0)," ")</f>
        <v>Clientes</v>
      </c>
      <c r="F20" s="93" t="str">
        <f t="shared" si="0"/>
        <v>Clientes</v>
      </c>
      <c r="G20" s="93" t="str">
        <f t="shared" si="1"/>
        <v>LAFT5</v>
      </c>
      <c r="H20" s="93" t="str">
        <f t="shared" si="2"/>
        <v>BUENA</v>
      </c>
      <c r="I20" s="93" t="str">
        <f t="shared" si="3"/>
        <v xml:space="preserve">Posibilidad de que un ganador del premio de la lotería venda o realice algun tipo de negociación con un tercero, para transferir la propiedad del billete de lotería con la finalidad de realizar una operación de LA/FT/FPADM. </v>
      </c>
      <c r="J20" s="136">
        <f t="shared" si="4"/>
        <v>4</v>
      </c>
      <c r="K20" s="136">
        <f t="shared" si="5"/>
        <v>4.75</v>
      </c>
      <c r="L20" s="136" t="e">
        <f>'R I'!#REF!</f>
        <v>#REF!</v>
      </c>
      <c r="M20" s="136" t="e">
        <f>'R I'!#REF!</f>
        <v>#REF!</v>
      </c>
      <c r="N20" s="136" t="e">
        <f>'R I'!#REF!</f>
        <v>#REF!</v>
      </c>
      <c r="O20" s="136" t="e">
        <f>'R I'!#REF!</f>
        <v>#REF!</v>
      </c>
      <c r="P20" s="137">
        <f>IFERROR(L20*LOOKUP($H20,Controles!$AT$9:$AT$12,Controles!$AU$9:$AU$12),0)</f>
        <v>0</v>
      </c>
      <c r="Q20" s="137">
        <f>IFERROR(M20*LOOKUP($H20,Controles!$AT$9:$AT$12,Controles!$AU$9:$AU$12),0)</f>
        <v>0</v>
      </c>
      <c r="R20" s="137">
        <f>IFERROR(N20*LOOKUP($H20,Controles!$AT$9:$AT$12,Controles!$AU$9:$AU$12),0)</f>
        <v>0</v>
      </c>
      <c r="S20" s="137">
        <f>IFERROR(O20*LOOKUP($H20,Controles!$AT$9:$AT$12,Controles!$AU$9:$AU$12),0)</f>
        <v>0</v>
      </c>
      <c r="T20" s="121">
        <f t="shared" si="10"/>
        <v>2</v>
      </c>
      <c r="U20" s="121">
        <f>IFERROR(ROUND(K20*LOOKUP(H20,Controles!$AT$9:$AT$12,Controles!$AU$9:$AU$12),0),0)</f>
        <v>2</v>
      </c>
      <c r="V20" s="122">
        <f t="shared" si="6"/>
        <v>4</v>
      </c>
      <c r="W20" s="123" t="str">
        <f t="shared" si="7"/>
        <v>BAJO</v>
      </c>
      <c r="X20" s="121" t="str">
        <f t="shared" si="8"/>
        <v>Tratar</v>
      </c>
    </row>
    <row r="21" spans="2:27" ht="81" customHeight="1" x14ac:dyDescent="0.3">
      <c r="B21" s="93">
        <f t="shared" si="9"/>
        <v>13</v>
      </c>
      <c r="C21" s="93" t="str">
        <f>'R I'!C19</f>
        <v>Transversal a Todas las Áreas y/o Unidades</v>
      </c>
      <c r="D21" s="93" t="str">
        <f>'R I'!D19</f>
        <v>Transversal a las Áreas y/o Unidades indicadas en el proceso</v>
      </c>
      <c r="E21" s="74" t="str">
        <f>IFERROR(VLOOKUP(B21,'R I'!E19:G42,3,0)," ")</f>
        <v>Distribuidores y Gestores</v>
      </c>
      <c r="F21" s="93" t="str">
        <f t="shared" si="0"/>
        <v>Distribuidores y Gestores</v>
      </c>
      <c r="G21" s="93" t="str">
        <f t="shared" si="1"/>
        <v>LAFT16</v>
      </c>
      <c r="H21" s="93" t="str">
        <f t="shared" si="2"/>
        <v>BUENA</v>
      </c>
      <c r="I21" s="93" t="str">
        <f t="shared" si="3"/>
        <v>Posibilidad de tener vínculo contractual con contrapartes que aparezcan en listas vinculantes y de control LA/FT/FPADM en la revisión periódica-masiva de éstas.</v>
      </c>
      <c r="J21" s="136">
        <f t="shared" si="4"/>
        <v>1</v>
      </c>
      <c r="K21" s="136">
        <f t="shared" si="5"/>
        <v>3</v>
      </c>
      <c r="L21" s="136" t="e">
        <f>'R I'!#REF!</f>
        <v>#REF!</v>
      </c>
      <c r="M21" s="136" t="e">
        <f>'R I'!#REF!</f>
        <v>#REF!</v>
      </c>
      <c r="N21" s="136" t="e">
        <f>'R I'!#REF!</f>
        <v>#REF!</v>
      </c>
      <c r="O21" s="136" t="e">
        <f>'R I'!#REF!</f>
        <v>#REF!</v>
      </c>
      <c r="P21" s="137">
        <f>IFERROR(L21*LOOKUP($H21,Controles!$AT$9:$AT$12,Controles!$AU$9:$AU$12),0)</f>
        <v>0</v>
      </c>
      <c r="Q21" s="137">
        <f>IFERROR(M21*LOOKUP($H21,Controles!$AT$9:$AT$12,Controles!$AU$9:$AU$12),0)</f>
        <v>0</v>
      </c>
      <c r="R21" s="137">
        <f>IFERROR(N21*LOOKUP($H21,Controles!$AT$9:$AT$12,Controles!$AU$9:$AU$12),0)</f>
        <v>0</v>
      </c>
      <c r="S21" s="137">
        <f>IFERROR(O21*LOOKUP($H21,Controles!$AT$9:$AT$12,Controles!$AU$9:$AU$12),0)</f>
        <v>0</v>
      </c>
      <c r="T21" s="121">
        <f t="shared" si="10"/>
        <v>1</v>
      </c>
      <c r="U21" s="121">
        <f>IFERROR(ROUND(K21*LOOKUP(H21,Controles!$AT$9:$AT$12,Controles!$AU$9:$AU$12),0),0)</f>
        <v>2</v>
      </c>
      <c r="V21" s="122">
        <f t="shared" si="6"/>
        <v>2</v>
      </c>
      <c r="W21" s="123" t="str">
        <f t="shared" si="7"/>
        <v>BAJO</v>
      </c>
      <c r="X21" s="121" t="str">
        <f t="shared" si="8"/>
        <v>Tratar</v>
      </c>
    </row>
    <row r="22" spans="2:27" ht="69" customHeight="1" x14ac:dyDescent="0.3">
      <c r="B22" s="93">
        <f t="shared" si="9"/>
        <v>14</v>
      </c>
      <c r="C22" s="93" t="str">
        <f>'R I'!C20</f>
        <v>Explotación de JSA - Control Inspección y Fiscalización</v>
      </c>
      <c r="D22" s="93" t="str">
        <f>'R I'!D20</f>
        <v>Transversal a las Áreas y/o Unidades indicadas en el proceso</v>
      </c>
      <c r="E22" s="74" t="str">
        <f>IFERROR(VLOOKUP(B22,'R I'!E20:G43,3,0)," ")</f>
        <v>Distribuidores y Gestores</v>
      </c>
      <c r="F22" s="93" t="str">
        <f t="shared" si="0"/>
        <v>Distribuidores y Gestores</v>
      </c>
      <c r="G22" s="93" t="str">
        <f t="shared" si="1"/>
        <v>LAFT18</v>
      </c>
      <c r="H22" s="93" t="str">
        <f t="shared" si="2"/>
        <v>BAJA</v>
      </c>
      <c r="I22" s="93" t="str">
        <f t="shared" si="3"/>
        <v>Posibilidad de que los distribuidores y gestores de la Lotería de Bogotá realicen el pago y/o entrega de un premio en dinero o en especie, sin aplicar los protocolos de consulta en las listas vinculantes y de control.</v>
      </c>
      <c r="J22" s="136">
        <f t="shared" si="4"/>
        <v>5</v>
      </c>
      <c r="K22" s="136">
        <f t="shared" si="5"/>
        <v>4.5</v>
      </c>
      <c r="L22" s="136">
        <f>'R I'!W12</f>
        <v>2</v>
      </c>
      <c r="M22" s="136">
        <f>'R I'!X12</f>
        <v>4</v>
      </c>
      <c r="N22" s="136">
        <f>'R I'!Y12</f>
        <v>2</v>
      </c>
      <c r="O22" s="136">
        <f>'R I'!Z12</f>
        <v>1</v>
      </c>
      <c r="P22" s="137">
        <f>IFERROR(L22*LOOKUP($H22,Controles!$AT$9:$AT$12,Controles!$AU$9:$AU$12),0)</f>
        <v>1.8</v>
      </c>
      <c r="Q22" s="137">
        <f>IFERROR(M22*LOOKUP($H22,Controles!$AT$9:$AT$12,Controles!$AU$9:$AU$12),0)</f>
        <v>3.6</v>
      </c>
      <c r="R22" s="137">
        <f>IFERROR(N22*LOOKUP($H22,Controles!$AT$9:$AT$12,Controles!$AU$9:$AU$12),0)</f>
        <v>1.8</v>
      </c>
      <c r="S22" s="137">
        <f>IFERROR(O22*LOOKUP($H22,Controles!$AT$9:$AT$12,Controles!$AU$9:$AU$12),0)</f>
        <v>0.9</v>
      </c>
      <c r="T22" s="121">
        <f t="shared" si="10"/>
        <v>5</v>
      </c>
      <c r="U22" s="121">
        <f>IFERROR(ROUND(K22*LOOKUP(H22,Controles!$AT$9:$AT$12,Controles!$AU$9:$AU$12),0),0)</f>
        <v>4</v>
      </c>
      <c r="V22" s="122">
        <f t="shared" si="6"/>
        <v>20</v>
      </c>
      <c r="W22" s="123" t="str">
        <f t="shared" ref="W22:W23" si="11">IF(AND(V22&gt;0,V22&lt;8),"BAJO",IF(AND(V22&gt;=8,V22&lt;14),"MEDIO",IF(AND(V22&gt;=14,V22&lt;20),"ALTO",IF(AND(V22&gt;=20,V22&lt;26),"EXTREMO",""))))</f>
        <v>EXTREMO</v>
      </c>
      <c r="X22" s="121" t="str">
        <f t="shared" si="8"/>
        <v>Prevenir/Tratar/Evitar</v>
      </c>
    </row>
    <row r="23" spans="2:27" ht="66.75" customHeight="1" x14ac:dyDescent="0.3">
      <c r="B23" s="93">
        <f t="shared" si="9"/>
        <v>15</v>
      </c>
      <c r="C23" s="93" t="str">
        <f>'R I'!C21</f>
        <v>Explotación de JSA - Control Inspección y Fiscalización</v>
      </c>
      <c r="D23" s="93" t="str">
        <f>'R I'!D21</f>
        <v>Transversal a las Áreas y/o Unidades indicadas en el proceso</v>
      </c>
      <c r="E23" s="74" t="str">
        <f>IFERROR(VLOOKUP(B23,'R I'!E21:G44,3,0)," ")</f>
        <v>Distribuidores y Gestores</v>
      </c>
      <c r="F23" s="93" t="str">
        <f t="shared" si="0"/>
        <v>Distribuidores y Gestores</v>
      </c>
      <c r="G23" s="93" t="str">
        <f t="shared" si="1"/>
        <v>LAFT18</v>
      </c>
      <c r="H23" s="93" t="str">
        <f t="shared" si="2"/>
        <v>BAJA</v>
      </c>
      <c r="I23" s="93" t="str">
        <f t="shared" si="3"/>
        <v>Posibilidad de que los ganadores de premios de la Lotería de Bogotá realicen cobros del premio de manera fraccionada.</v>
      </c>
      <c r="J23" s="136">
        <f t="shared" si="4"/>
        <v>3</v>
      </c>
      <c r="K23" s="136">
        <f t="shared" si="5"/>
        <v>3.5</v>
      </c>
      <c r="L23" s="136" t="e">
        <f>'R I'!#REF!</f>
        <v>#REF!</v>
      </c>
      <c r="M23" s="136" t="e">
        <f>'R I'!#REF!</f>
        <v>#REF!</v>
      </c>
      <c r="N23" s="136" t="e">
        <f>'R I'!#REF!</f>
        <v>#REF!</v>
      </c>
      <c r="O23" s="136" t="e">
        <f>'R I'!#REF!</f>
        <v>#REF!</v>
      </c>
      <c r="P23" s="137">
        <f>IFERROR(L23*LOOKUP($H23,Controles!$AT$9:$AT$12,Controles!$AU$9:$AU$12),0)</f>
        <v>0</v>
      </c>
      <c r="Q23" s="137">
        <f>IFERROR(M23*LOOKUP($H23,Controles!$AT$9:$AT$12,Controles!$AU$9:$AU$12),0)</f>
        <v>0</v>
      </c>
      <c r="R23" s="137">
        <f>IFERROR(N23*LOOKUP($H23,Controles!$AT$9:$AT$12,Controles!$AU$9:$AU$12),0)</f>
        <v>0</v>
      </c>
      <c r="S23" s="137">
        <f>IFERROR(O23*LOOKUP($H23,Controles!$AT$9:$AT$12,Controles!$AU$9:$AU$12),0)</f>
        <v>0</v>
      </c>
      <c r="T23" s="121">
        <f t="shared" si="10"/>
        <v>3</v>
      </c>
      <c r="U23" s="121">
        <f>IFERROR(ROUND(K23*LOOKUP(H23,Controles!$AT$9:$AT$12,Controles!$AU$9:$AU$12),0),0)</f>
        <v>3</v>
      </c>
      <c r="V23" s="122">
        <f t="shared" si="6"/>
        <v>9</v>
      </c>
      <c r="W23" s="123" t="str">
        <f t="shared" si="11"/>
        <v>MEDIO</v>
      </c>
      <c r="X23" s="121" t="str">
        <f t="shared" si="8"/>
        <v>Tratar</v>
      </c>
    </row>
    <row r="24" spans="2:27" ht="42" customHeight="1" x14ac:dyDescent="0.3">
      <c r="B24" s="141"/>
      <c r="C24" s="141"/>
      <c r="D24" s="141"/>
      <c r="E24" s="6"/>
      <c r="F24" s="141"/>
      <c r="G24" s="141"/>
      <c r="H24" s="141"/>
      <c r="I24" s="141"/>
      <c r="J24" s="142"/>
      <c r="K24" s="142"/>
      <c r="L24" s="142"/>
      <c r="M24" s="142"/>
      <c r="N24" s="142"/>
      <c r="O24" s="142"/>
      <c r="P24" s="143"/>
      <c r="Q24" s="143"/>
      <c r="R24" s="143"/>
      <c r="S24" s="143"/>
      <c r="T24" s="144"/>
      <c r="U24" s="144"/>
      <c r="V24" s="145"/>
      <c r="W24" s="146"/>
      <c r="X24" s="144"/>
    </row>
    <row r="25" spans="2:27" ht="42" customHeight="1" x14ac:dyDescent="0.3">
      <c r="B25" s="141"/>
      <c r="C25" s="141"/>
      <c r="D25" s="141"/>
      <c r="E25" s="6"/>
      <c r="F25" s="141"/>
      <c r="G25" s="141"/>
      <c r="H25" s="141"/>
      <c r="I25" s="141"/>
      <c r="J25" s="142"/>
      <c r="K25" s="142"/>
      <c r="L25" s="142"/>
      <c r="M25" s="142"/>
      <c r="N25" s="142"/>
      <c r="O25" s="142"/>
      <c r="P25" s="143"/>
      <c r="Q25" s="143"/>
      <c r="R25" s="143"/>
      <c r="S25" s="143"/>
      <c r="T25" s="144"/>
      <c r="U25" s="144"/>
      <c r="V25" s="145"/>
      <c r="W25" s="146"/>
      <c r="X25" s="144"/>
    </row>
    <row r="26" spans="2:27" ht="42" customHeight="1" x14ac:dyDescent="0.3">
      <c r="B26" s="141"/>
      <c r="C26" s="141"/>
      <c r="D26" s="141"/>
      <c r="E26" s="6"/>
      <c r="F26" s="141"/>
      <c r="G26" s="141"/>
      <c r="H26" s="141"/>
      <c r="I26" s="141"/>
      <c r="J26" s="142"/>
      <c r="K26" s="142"/>
      <c r="L26" s="142"/>
      <c r="M26" s="142"/>
      <c r="N26" s="142"/>
      <c r="O26" s="142"/>
      <c r="P26" s="143"/>
      <c r="Q26" s="143"/>
      <c r="R26" s="143"/>
      <c r="S26" s="143"/>
      <c r="T26" s="144"/>
      <c r="U26" s="144"/>
      <c r="V26" s="145"/>
      <c r="W26" s="146"/>
      <c r="X26" s="144"/>
    </row>
    <row r="27" spans="2:27" ht="48" customHeight="1" x14ac:dyDescent="0.3">
      <c r="B27" s="141"/>
      <c r="C27" s="141"/>
      <c r="D27" s="141"/>
      <c r="E27" s="6"/>
      <c r="F27" s="141"/>
      <c r="G27" s="141"/>
      <c r="H27" s="141"/>
      <c r="I27" s="141"/>
      <c r="J27" s="142"/>
      <c r="K27" s="142"/>
      <c r="L27" s="142"/>
      <c r="M27" s="142"/>
      <c r="N27" s="142"/>
      <c r="O27" s="142"/>
      <c r="P27" s="143"/>
      <c r="Q27" s="143"/>
      <c r="R27" s="143"/>
      <c r="S27" s="143"/>
      <c r="T27" s="144"/>
      <c r="U27" s="144"/>
      <c r="V27" s="145"/>
      <c r="W27" s="146"/>
      <c r="X27" s="144"/>
    </row>
    <row r="28" spans="2:27" ht="63.75" customHeight="1" x14ac:dyDescent="0.3">
      <c r="B28" s="141"/>
      <c r="C28" s="141"/>
      <c r="D28" s="141"/>
      <c r="E28" s="6"/>
      <c r="F28" s="141"/>
      <c r="G28" s="141"/>
      <c r="H28" s="141"/>
      <c r="I28" s="141"/>
      <c r="J28" s="142"/>
      <c r="K28" s="142"/>
      <c r="L28" s="142"/>
      <c r="M28" s="142"/>
      <c r="N28" s="142"/>
      <c r="O28" s="142"/>
      <c r="P28" s="143"/>
      <c r="Q28" s="143"/>
      <c r="R28" s="143"/>
      <c r="S28" s="143"/>
      <c r="T28" s="144"/>
      <c r="U28" s="144"/>
      <c r="V28" s="145"/>
      <c r="W28" s="146"/>
      <c r="X28" s="144"/>
    </row>
    <row r="29" spans="2:27" ht="68.25" customHeight="1" x14ac:dyDescent="0.3">
      <c r="B29" s="141"/>
      <c r="C29" s="141"/>
      <c r="D29" s="141"/>
      <c r="E29" s="6"/>
      <c r="F29" s="141"/>
      <c r="G29" s="141"/>
      <c r="H29" s="141"/>
      <c r="I29" s="141"/>
      <c r="J29" s="142"/>
      <c r="K29" s="142"/>
      <c r="L29" s="142"/>
      <c r="M29" s="142"/>
      <c r="N29" s="142"/>
      <c r="O29" s="142"/>
      <c r="P29" s="143"/>
      <c r="Q29" s="143"/>
      <c r="R29" s="143"/>
      <c r="S29" s="143"/>
      <c r="T29" s="144"/>
      <c r="U29" s="144"/>
      <c r="V29" s="145"/>
      <c r="W29" s="146"/>
      <c r="X29" s="144"/>
    </row>
    <row r="30" spans="2:27" ht="48" customHeight="1" x14ac:dyDescent="0.3">
      <c r="B30" s="141"/>
      <c r="C30" s="141"/>
      <c r="D30" s="141"/>
      <c r="E30" s="6"/>
      <c r="F30" s="141"/>
      <c r="G30" s="141"/>
      <c r="H30" s="141"/>
      <c r="I30" s="141"/>
      <c r="J30" s="142"/>
      <c r="K30" s="142"/>
      <c r="L30" s="142"/>
      <c r="M30" s="142"/>
      <c r="N30" s="142"/>
      <c r="O30" s="142"/>
      <c r="P30" s="143"/>
      <c r="Q30" s="143"/>
      <c r="R30" s="143"/>
      <c r="S30" s="143"/>
      <c r="T30" s="144"/>
      <c r="U30" s="144"/>
      <c r="V30" s="145"/>
      <c r="W30" s="146"/>
      <c r="X30" s="144"/>
    </row>
    <row r="31" spans="2:27" ht="48" customHeight="1" x14ac:dyDescent="0.3">
      <c r="B31" s="141"/>
      <c r="C31" s="141"/>
      <c r="D31" s="141"/>
      <c r="E31" s="6"/>
      <c r="F31" s="141"/>
      <c r="G31" s="141"/>
      <c r="H31" s="141"/>
      <c r="I31" s="141"/>
      <c r="J31" s="142"/>
      <c r="K31" s="142"/>
      <c r="L31" s="142"/>
      <c r="M31" s="142"/>
      <c r="N31" s="142"/>
      <c r="O31" s="142"/>
      <c r="P31" s="143"/>
      <c r="Q31" s="143"/>
      <c r="R31" s="143"/>
      <c r="S31" s="143"/>
      <c r="T31" s="144"/>
      <c r="U31" s="144"/>
      <c r="V31" s="145"/>
      <c r="W31" s="146"/>
      <c r="X31" s="144"/>
    </row>
    <row r="32" spans="2:27" ht="48" customHeight="1" x14ac:dyDescent="0.3">
      <c r="B32" s="141"/>
      <c r="C32" s="141"/>
      <c r="D32" s="141"/>
      <c r="E32" s="6"/>
      <c r="F32" s="141"/>
      <c r="G32" s="141"/>
      <c r="H32" s="141"/>
      <c r="I32" s="141"/>
      <c r="J32" s="142"/>
      <c r="K32" s="142"/>
      <c r="L32" s="142"/>
      <c r="M32" s="142"/>
      <c r="N32" s="142"/>
      <c r="O32" s="142"/>
      <c r="P32" s="143"/>
      <c r="Q32" s="143"/>
      <c r="R32" s="143"/>
      <c r="S32" s="143"/>
      <c r="T32" s="144"/>
      <c r="U32" s="144"/>
      <c r="V32" s="145"/>
      <c r="W32" s="146"/>
      <c r="X32" s="144"/>
    </row>
    <row r="33" spans="2:24" ht="50.25" customHeight="1" x14ac:dyDescent="0.3">
      <c r="B33" s="141"/>
      <c r="C33" s="141"/>
      <c r="D33" s="141"/>
      <c r="E33" s="6"/>
      <c r="F33" s="141"/>
      <c r="G33" s="141"/>
      <c r="H33" s="141"/>
      <c r="I33" s="141"/>
      <c r="J33" s="142"/>
      <c r="K33" s="142"/>
      <c r="L33" s="142"/>
      <c r="M33" s="142"/>
      <c r="N33" s="142"/>
      <c r="O33" s="142"/>
      <c r="P33" s="143"/>
      <c r="Q33" s="143"/>
      <c r="R33" s="143"/>
      <c r="S33" s="143"/>
      <c r="T33" s="144"/>
      <c r="U33" s="144"/>
      <c r="V33" s="145"/>
      <c r="W33" s="146"/>
      <c r="X33" s="144"/>
    </row>
    <row r="34" spans="2:24" ht="50.25" customHeight="1" x14ac:dyDescent="0.3">
      <c r="B34" s="141"/>
      <c r="C34" s="141"/>
      <c r="D34" s="141"/>
      <c r="E34" s="6"/>
      <c r="F34" s="141"/>
      <c r="G34" s="141"/>
      <c r="H34" s="141"/>
      <c r="I34" s="141"/>
      <c r="J34" s="142"/>
      <c r="K34" s="142"/>
      <c r="L34" s="142"/>
      <c r="M34" s="142"/>
      <c r="N34" s="142"/>
      <c r="O34" s="142"/>
      <c r="P34" s="143"/>
      <c r="Q34" s="143"/>
      <c r="R34" s="143"/>
      <c r="S34" s="143"/>
      <c r="T34" s="144"/>
      <c r="U34" s="144"/>
      <c r="V34" s="145"/>
      <c r="W34" s="146"/>
      <c r="X34" s="144"/>
    </row>
  </sheetData>
  <mergeCells count="20">
    <mergeCell ref="X5:X8"/>
    <mergeCell ref="V5:W6"/>
    <mergeCell ref="W7:W8"/>
    <mergeCell ref="V7:V8"/>
    <mergeCell ref="J5:J8"/>
    <mergeCell ref="K5:K8"/>
    <mergeCell ref="U5:U8"/>
    <mergeCell ref="T5:T8"/>
    <mergeCell ref="Q7:Q8"/>
    <mergeCell ref="R7:R8"/>
    <mergeCell ref="S7:S8"/>
    <mergeCell ref="L5:O6"/>
    <mergeCell ref="P5:S6"/>
    <mergeCell ref="L7:L8"/>
    <mergeCell ref="M7:M8"/>
    <mergeCell ref="N7:N8"/>
    <mergeCell ref="O7:O8"/>
    <mergeCell ref="P7:P8"/>
    <mergeCell ref="B5:H7"/>
    <mergeCell ref="I5:I7"/>
  </mergeCells>
  <phoneticPr fontId="27" type="noConversion"/>
  <conditionalFormatting sqref="V9:V21 V24:V34">
    <cfRule type="containsText" dxfId="44" priority="620" stopIfTrue="1" operator="containsText" text="INACEPTABLE">
      <formula>NOT(ISERROR(SEARCH("INACEPTABLE",V9)))</formula>
    </cfRule>
  </conditionalFormatting>
  <conditionalFormatting sqref="V9:V21 V24:V34">
    <cfRule type="cellIs" dxfId="43" priority="619" stopIfTrue="1" operator="equal">
      <formula>"ACEPTABLE"</formula>
    </cfRule>
  </conditionalFormatting>
  <conditionalFormatting sqref="W24:W34 W9:W21">
    <cfRule type="cellIs" dxfId="42" priority="580" operator="equal">
      <formula>"BAJO"</formula>
    </cfRule>
    <cfRule type="cellIs" dxfId="41" priority="581" operator="equal">
      <formula>"MEDIO"</formula>
    </cfRule>
    <cfRule type="cellIs" dxfId="40" priority="582" operator="equal">
      <formula>"EXTREMO"</formula>
    </cfRule>
    <cfRule type="cellIs" dxfId="39" priority="583" operator="equal">
      <formula>"ALTO"</formula>
    </cfRule>
  </conditionalFormatting>
  <conditionalFormatting sqref="Y18:AA18">
    <cfRule type="cellIs" dxfId="38" priority="554" operator="equal">
      <formula>0</formula>
    </cfRule>
  </conditionalFormatting>
  <conditionalFormatting sqref="V22:V23">
    <cfRule type="containsText" dxfId="37" priority="508" stopIfTrue="1" operator="containsText" text="INACEPTABLE">
      <formula>NOT(ISERROR(SEARCH("INACEPTABLE",V22)))</formula>
    </cfRule>
  </conditionalFormatting>
  <conditionalFormatting sqref="V22:V23">
    <cfRule type="cellIs" dxfId="36" priority="507" stopIfTrue="1" operator="equal">
      <formula>"ACEPTABLE"</formula>
    </cfRule>
  </conditionalFormatting>
  <conditionalFormatting sqref="W22:W23">
    <cfRule type="cellIs" dxfId="35" priority="503" operator="equal">
      <formula>"BAJO"</formula>
    </cfRule>
    <cfRule type="cellIs" dxfId="34" priority="504" operator="equal">
      <formula>"MEDIO"</formula>
    </cfRule>
    <cfRule type="cellIs" dxfId="33" priority="505" operator="equal">
      <formula>"EXTREMO"</formula>
    </cfRule>
    <cfRule type="cellIs" dxfId="32" priority="506" operator="equal">
      <formula>"ALTO"</formula>
    </cfRule>
  </conditionalFormatting>
  <dataValidations count="2">
    <dataValidation allowBlank="1" showInputMessage="1" showErrorMessage="1" prompt="Calcula el Riesgo Residual:  Tomando como base el Riesgo inherente y el efecto de mitigación del control sobre el riesgo Inherente: _x000a_EXCELENTE : Mitiga el 80%_x000a_BUENO: Mitiga el 50%_x000a_BAJA: Mitiga el 10%_x000a_CRITICO: Mitiga el 0%" sqref="V5"/>
    <dataValidation allowBlank="1" showInputMessage="1" showErrorMessage="1" prompt="Calcula la incidencia del total de controles sobre el riesgo identificado." sqref="B5"/>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Tablas1!$I$3:$I$12</xm:f>
          </x14:formula1>
          <xm:sqref>G35:G1048576</xm:sqref>
        </x14:dataValidation>
        <x14:dataValidation type="list" allowBlank="1" showInputMessage="1">
          <x14:formula1>
            <xm:f>Tablas1!$H$3:$H$6</xm:f>
          </x14:formula1>
          <xm:sqref>E9:E34</xm:sqref>
        </x14:dataValidation>
        <x14:dataValidation type="list" allowBlank="1" showInputMessage="1">
          <x14:formula1>
            <xm:f>Tablas1!$I$3:$I$12</xm:f>
          </x14:formula1>
          <xm:sqref>G9:G34</xm:sqref>
        </x14:dataValidation>
        <x14:dataValidation type="list" allowBlank="1" showInputMessage="1" showErrorMessage="1">
          <x14:formula1>
            <xm:f>Tablas1!$C$3:$C$22</xm:f>
          </x14:formula1>
          <xm:sqref>F9:F1048576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M20"/>
  <sheetViews>
    <sheetView showGridLines="0" zoomScaleNormal="100" workbookViewId="0">
      <selection activeCell="H14" sqref="H14:J20"/>
    </sheetView>
  </sheetViews>
  <sheetFormatPr baseColWidth="10" defaultColWidth="11.5546875" defaultRowHeight="14.4" x14ac:dyDescent="0.3"/>
  <cols>
    <col min="1" max="1" width="8.21875" customWidth="1"/>
    <col min="2" max="2" width="38.5546875" customWidth="1"/>
    <col min="3" max="3" width="16.21875" bestFit="1" customWidth="1"/>
    <col min="4" max="4" width="17.77734375" customWidth="1"/>
    <col min="5" max="5" width="18.5546875" customWidth="1"/>
    <col min="6" max="6" width="17.77734375" customWidth="1"/>
    <col min="8" max="8" width="28.21875" customWidth="1"/>
    <col min="9" max="9" width="13.77734375" customWidth="1"/>
    <col min="10" max="10" width="11.5546875" customWidth="1"/>
    <col min="12" max="12" width="21" customWidth="1"/>
    <col min="13" max="13" width="15.44140625" customWidth="1"/>
  </cols>
  <sheetData>
    <row r="2" spans="1:13" x14ac:dyDescent="0.3">
      <c r="A2" s="47"/>
    </row>
    <row r="3" spans="1:13" x14ac:dyDescent="0.3">
      <c r="B3" s="47"/>
    </row>
    <row r="5" spans="1:13" ht="25.5" customHeight="1" x14ac:dyDescent="0.3">
      <c r="B5" s="35" t="s">
        <v>7</v>
      </c>
      <c r="C5" s="35" t="s">
        <v>21</v>
      </c>
      <c r="D5" s="35" t="s">
        <v>86</v>
      </c>
      <c r="E5" s="35" t="s">
        <v>87</v>
      </c>
      <c r="F5" s="35" t="s">
        <v>88</v>
      </c>
      <c r="G5" s="35"/>
      <c r="H5" s="35" t="s">
        <v>388</v>
      </c>
      <c r="I5" s="35" t="s">
        <v>94</v>
      </c>
      <c r="J5" s="35" t="s">
        <v>96</v>
      </c>
      <c r="L5" s="70" t="s">
        <v>425</v>
      </c>
      <c r="M5" s="70" t="s">
        <v>95</v>
      </c>
    </row>
    <row r="6" spans="1:13" s="35" customFormat="1" ht="30" customHeight="1" x14ac:dyDescent="0.3">
      <c r="B6" s="80" t="str">
        <f>Tablas1!H3</f>
        <v>Productos y/o servicios</v>
      </c>
      <c r="C6" s="126">
        <f ca="1">IFERROR(AVERAGEIF('R R'!$E$7:$G$1048576,Tableau15[[#This Row],[FACTOR DE RIESGO]],'R R'!T$7:T$1048576),"")</f>
        <v>1</v>
      </c>
      <c r="D6" s="126">
        <f ca="1">IFERROR(AVERAGEIF('R R'!$E$7:$G$1048576,Tableau15[[#This Row],[FACTOR DE RIESGO]],'R R'!U$7:U$1048576),"")</f>
        <v>1</v>
      </c>
      <c r="E6" s="18">
        <v>2</v>
      </c>
      <c r="F6" s="18" t="str">
        <f>IF(AND(E6&gt;0,E6&lt;8),"BAJO",IF(AND(E6&gt;=8,E6&lt;14),"MEDIO",IF(AND(E6&gt;=14,E6&lt;20),"ALTO",IF(AND(E6&gt;=20,E6&lt;26),"EXTREMO",""))))</f>
        <v>BAJO</v>
      </c>
      <c r="H6" s="135" t="str">
        <f>Tablas1!B3</f>
        <v>Control Interno Disciplinario</v>
      </c>
      <c r="I6" s="134">
        <f>IFERROR(AVERAGEIF('R R'!$C$9:$C$1048576,Tableau13[[#This Row],[Proceso/Área de práctica]],'R R'!$T$9:$T$1048576),0)</f>
        <v>0</v>
      </c>
      <c r="J6" s="134">
        <f>IFERROR(AVERAGEIF('R R'!$C$9:$C$1048576,Tableau13[[#This Row],[Proceso/Área de práctica]],'R R'!$U$9:$U$1048576),0)</f>
        <v>0</v>
      </c>
      <c r="L6" s="80" t="str">
        <f>Tablas1!B24</f>
        <v>Riesgo de Contagio</v>
      </c>
      <c r="M6" s="126">
        <f>IFERROR(AVERAGE('R R'!$P$9:$P$1048576),0)</f>
        <v>0.43333333333333335</v>
      </c>
    </row>
    <row r="7" spans="1:13" s="35" customFormat="1" ht="30" customHeight="1" x14ac:dyDescent="0.3">
      <c r="B7" s="35" t="str">
        <f>Tablas1!H4</f>
        <v>Canales comerciales y/o transaccionales</v>
      </c>
      <c r="C7" s="126">
        <f ca="1">IFERROR(AVERAGEIF('R R'!$E$7:$G$1048576,Tableau15[[#This Row],[FACTOR DE RIESGO]],'R R'!T$7:T$1048576),"")</f>
        <v>1.5</v>
      </c>
      <c r="D7" s="126">
        <f ca="1">IFERROR(AVERAGEIF('R R'!$E$7:$G$1048576,Tableau15[[#This Row],[FACTOR DE RIESGO]],'R R'!U$7:U$1048576),"")</f>
        <v>2.25</v>
      </c>
      <c r="E7" s="18">
        <f t="shared" ref="E7:E10" ca="1" si="0">IFERROR(ROUND(C7*D7,0),"")</f>
        <v>3</v>
      </c>
      <c r="F7" s="18" t="str">
        <f t="shared" ref="F7:F10" ca="1" si="1">IF(AND(E7&gt;0,E7&lt;8),"BAJO",IF(AND(E7&gt;=8,E7&lt;14),"MEDIO",IF(AND(E7&gt;=14,E7&lt;20),"ALTO",IF(AND(E7&gt;=20,E7&lt;26),"EXTREMO",""))))</f>
        <v>BAJO</v>
      </c>
      <c r="H7" s="135" t="str">
        <f>Tablas1!B4</f>
        <v>Gestión Financiera y Contable</v>
      </c>
      <c r="I7" s="134">
        <f>IFERROR(AVERAGEIF('R R'!$C$9:$C$1048576,Tableau13[[#This Row],[Proceso/Área de práctica]],'R R'!$T$9:$T$1048576),0)</f>
        <v>0.66666666666666663</v>
      </c>
      <c r="J7" s="134">
        <f>IFERROR(AVERAGEIF('R R'!$C$9:$C$1048576,Tableau13[[#This Row],[Proceso/Área de práctica]],'R R'!$U$9:$U$1048576),0)</f>
        <v>1</v>
      </c>
      <c r="L7" s="80" t="str">
        <f>Tablas1!B25</f>
        <v>Riesgo Legal</v>
      </c>
      <c r="M7" s="126">
        <f>IFERROR(AVERAGE('R R'!$Q$9:$Q$1048576),0)</f>
        <v>0.62</v>
      </c>
    </row>
    <row r="8" spans="1:13" s="35" customFormat="1" ht="30" customHeight="1" x14ac:dyDescent="0.3">
      <c r="B8" s="35" t="str">
        <f>Tablas1!H6</f>
        <v>Servidores Públicos y/o Contratistas</v>
      </c>
      <c r="C8" s="126">
        <f ca="1">IFERROR(AVERAGEIF('R R'!$E$7:$G$1048576,Tableau15[[#This Row],[FACTOR DE RIESGO]],'R R'!T$7:T$1048576),"")</f>
        <v>0.7</v>
      </c>
      <c r="D8" s="126">
        <f ca="1">IFERROR(AVERAGEIF('R R'!$E$7:$G$1048576,Tableau15[[#This Row],[FACTOR DE RIESGO]],'R R'!U$7:U$1048576),"")</f>
        <v>0.7</v>
      </c>
      <c r="E8" s="18">
        <v>1.4</v>
      </c>
      <c r="F8" s="18" t="str">
        <f t="shared" si="1"/>
        <v>BAJO</v>
      </c>
      <c r="H8" s="135" t="str">
        <f>Tablas1!B5</f>
        <v>Evaluación Independiente y Control a la Gestión</v>
      </c>
      <c r="I8" s="134">
        <f>IFERROR(AVERAGEIF('R R'!$C$9:$C$1048576,Tableau13[[#This Row],[Proceso/Área de práctica]],'R R'!$T$9:$T$1048576),0)</f>
        <v>0</v>
      </c>
      <c r="J8" s="134">
        <f>IFERROR(AVERAGEIF('R R'!$C$9:$C$1048576,Tableau13[[#This Row],[Proceso/Área de práctica]],'R R'!$U$9:$U$1048576),0)</f>
        <v>0</v>
      </c>
      <c r="L8" s="80" t="str">
        <f>Tablas1!B26</f>
        <v>Riesgo Reputacional</v>
      </c>
      <c r="M8" s="126">
        <f>IFERROR(AVERAGE('R R'!$R$9:$R$1048576),0)</f>
        <v>0.38</v>
      </c>
    </row>
    <row r="9" spans="1:13" s="35" customFormat="1" ht="30" customHeight="1" x14ac:dyDescent="0.3">
      <c r="B9" s="35" t="str">
        <f>Tablas1!H7</f>
        <v>Clientes</v>
      </c>
      <c r="C9" s="126">
        <f ca="1">IFERROR(AVERAGEIF('R R'!$E$7:$G$1048576,Tableau15[[#This Row],[FACTOR DE RIESGO]],'R R'!T$7:T$1048576),"")</f>
        <v>1.3333333333333333</v>
      </c>
      <c r="D9" s="126">
        <f ca="1">IFERROR(AVERAGEIF('R R'!$E$7:$G$1048576,Tableau15[[#This Row],[FACTOR DE RIESGO]],'R R'!U$7:U$1048576),"")</f>
        <v>1.6666666666666667</v>
      </c>
      <c r="E9" s="18">
        <f t="shared" ca="1" si="0"/>
        <v>2</v>
      </c>
      <c r="F9" s="18" t="str">
        <f t="shared" ca="1" si="1"/>
        <v>BAJO</v>
      </c>
      <c r="H9" s="135" t="str">
        <f>Tablas1!B6</f>
        <v>Atención y Servicio al Cliente</v>
      </c>
      <c r="I9" s="134">
        <f>IFERROR(AVERAGEIF('R R'!$C$9:$C$1048576,Tableau13[[#This Row],[Proceso/Área de práctica]],'R R'!$T$9:$T$1048576),0)</f>
        <v>0</v>
      </c>
      <c r="J9" s="134">
        <f>IFERROR(AVERAGEIF('R R'!$C$9:$C$1048576,Tableau13[[#This Row],[Proceso/Área de práctica]],'R R'!$U$9:$U$1048576),0)</f>
        <v>0</v>
      </c>
      <c r="L9" s="80" t="str">
        <f>Tablas1!B27</f>
        <v>Riesgo Operativo</v>
      </c>
      <c r="M9" s="126">
        <f>IFERROR(AVERAGE('R R'!$S$9:$S$1048576),0)</f>
        <v>0.44000000000000006</v>
      </c>
    </row>
    <row r="10" spans="1:13" s="35" customFormat="1" ht="30" customHeight="1" x14ac:dyDescent="0.3">
      <c r="B10" s="35" t="str">
        <f>Tablas1!H8</f>
        <v>Distribuidores y Gestores</v>
      </c>
      <c r="C10" s="126">
        <f ca="1">IFERROR(AVERAGEIF('R R'!$E$7:$G$1048576,Tableau15[[#This Row],[FACTOR DE RIESGO]],'R R'!T$7:T$1048576),"")</f>
        <v>3</v>
      </c>
      <c r="D10" s="126">
        <f ca="1">IFERROR(AVERAGEIF('R R'!$E$7:$G$1048576,Tableau15[[#This Row],[FACTOR DE RIESGO]],'R R'!U$7:U$1048576),"")</f>
        <v>6.666666666666667</v>
      </c>
      <c r="E10" s="18">
        <f t="shared" ca="1" si="0"/>
        <v>20</v>
      </c>
      <c r="F10" s="18" t="str">
        <f t="shared" ca="1" si="1"/>
        <v>EXTREMO</v>
      </c>
      <c r="H10" s="135" t="str">
        <f>Tablas1!B7</f>
        <v xml:space="preserve">Explotación de JSA </v>
      </c>
      <c r="I10" s="134">
        <f>IFERROR(AVERAGEIF('R R'!$C$9:$C$1048576,Tableau13[[#This Row],[Proceso/Área de práctica]],'R R'!$T$9:$T$1048576),0)</f>
        <v>2</v>
      </c>
      <c r="J10" s="134">
        <f>IFERROR(AVERAGEIF('R R'!$C$9:$C$1048576,Tableau13[[#This Row],[Proceso/Área de práctica]],'R R'!$U$9:$U$1048576),0)</f>
        <v>2</v>
      </c>
    </row>
    <row r="11" spans="1:13" s="35" customFormat="1" ht="30" customHeight="1" x14ac:dyDescent="0.3">
      <c r="H11" s="135" t="str">
        <f>Tablas1!B8</f>
        <v>Gestión de Bienes y Servicios</v>
      </c>
      <c r="I11" s="134">
        <f>IFERROR(AVERAGEIF('R R'!$C$9:$C$1048576,Tableau13[[#This Row],[Proceso/Área de práctica]],'R R'!$T$9:$T$1048576),0)</f>
        <v>0</v>
      </c>
      <c r="J11" s="134">
        <f>IFERROR(AVERAGEIF('R R'!$C$9:$C$1048576,Tableau13[[#This Row],[Proceso/Área de práctica]],'R R'!$U$9:$U$1048576),0)</f>
        <v>0</v>
      </c>
    </row>
    <row r="12" spans="1:13" s="35" customFormat="1" ht="30" customHeight="1" x14ac:dyDescent="0.3">
      <c r="H12" s="135" t="str">
        <f>Tablas1!B9</f>
        <v>Gestión de Comunicaciones</v>
      </c>
      <c r="I12" s="134">
        <f>IFERROR(AVERAGEIF('R R'!$C$9:$C$1048576,Tableau13[[#This Row],[Proceso/Área de práctica]],'R R'!$T$9:$T$1048576),0)</f>
        <v>3</v>
      </c>
      <c r="J12" s="134">
        <f>IFERROR(AVERAGEIF('R R'!$C$9:$C$1048576,Tableau13[[#This Row],[Proceso/Área de práctica]],'R R'!$U$9:$U$1048576),0)</f>
        <v>2</v>
      </c>
    </row>
    <row r="13" spans="1:13" s="35" customFormat="1" ht="30" customHeight="1" x14ac:dyDescent="0.3">
      <c r="H13" s="135" t="str">
        <f>Tablas1!B10</f>
        <v>Gestión de Talento Humano</v>
      </c>
      <c r="I13" s="134">
        <f>IFERROR(AVERAGEIF('R R'!$C$9:$C$1048576,Tableau13[[#This Row],[Proceso/Área de práctica]],'R R'!$T$9:$T$1048576),0)</f>
        <v>0</v>
      </c>
      <c r="J13" s="134">
        <f>IFERROR(AVERAGEIF('R R'!$C$9:$C$1048576,Tableau13[[#This Row],[Proceso/Área de práctica]],'R R'!$U$9:$U$1048576),0)</f>
        <v>0</v>
      </c>
    </row>
    <row r="14" spans="1:13" s="35" customFormat="1" ht="30" customHeight="1" x14ac:dyDescent="0.3">
      <c r="H14"/>
      <c r="I14"/>
      <c r="J14"/>
    </row>
    <row r="15" spans="1:13" s="35" customFormat="1" ht="30" customHeight="1" x14ac:dyDescent="0.3">
      <c r="H15"/>
      <c r="I15"/>
      <c r="J15"/>
    </row>
    <row r="16" spans="1:13" s="35" customFormat="1" ht="30" customHeight="1" x14ac:dyDescent="0.3">
      <c r="H16"/>
      <c r="I16"/>
      <c r="J16"/>
    </row>
    <row r="17" spans="2:10" s="35" customFormat="1" ht="30" customHeight="1" x14ac:dyDescent="0.3">
      <c r="H17"/>
      <c r="I17"/>
      <c r="J17"/>
    </row>
    <row r="18" spans="2:10" s="35" customFormat="1" ht="30" customHeight="1" x14ac:dyDescent="0.3">
      <c r="B18"/>
      <c r="C18"/>
      <c r="D18"/>
      <c r="E18"/>
      <c r="F18"/>
      <c r="H18"/>
      <c r="I18"/>
      <c r="J18"/>
    </row>
    <row r="19" spans="2:10" s="35" customFormat="1" ht="30" customHeight="1" x14ac:dyDescent="0.3">
      <c r="B19"/>
      <c r="C19"/>
      <c r="D19"/>
      <c r="E19"/>
      <c r="F19"/>
      <c r="H19"/>
      <c r="I19"/>
      <c r="J19"/>
    </row>
    <row r="20" spans="2:10" s="35" customFormat="1" ht="30" customHeight="1" x14ac:dyDescent="0.3">
      <c r="B20"/>
      <c r="C20"/>
      <c r="D20"/>
      <c r="E20"/>
      <c r="F20"/>
      <c r="H20"/>
      <c r="I20"/>
      <c r="J20"/>
    </row>
  </sheetData>
  <conditionalFormatting sqref="F6:F10">
    <cfRule type="cellIs" dxfId="27" priority="6" operator="equal">
      <formula>"BAJO"</formula>
    </cfRule>
    <cfRule type="cellIs" dxfId="26" priority="7" operator="equal">
      <formula>"MEDIO"</formula>
    </cfRule>
    <cfRule type="cellIs" dxfId="25" priority="8" operator="equal">
      <formula>"EXTREMO"</formula>
    </cfRule>
    <cfRule type="cellIs" dxfId="24" priority="9" operator="equal">
      <formula>"ALTO"</formula>
    </cfRule>
  </conditionalFormatting>
  <pageMargins left="0.7" right="0.7" top="0.75" bottom="0.75" header="0.3" footer="0.3"/>
  <ignoredErrors>
    <ignoredError sqref="M6:M9" calculatedColumn="1"/>
  </ignoredErrors>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Tablas1!$H$3:$H$12</xm:f>
          </x14:formula1>
          <xm:sqref>B6:B10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G56"/>
  <sheetViews>
    <sheetView showGridLines="0" zoomScale="70" zoomScaleNormal="70" workbookViewId="0">
      <selection activeCell="N4" sqref="N4"/>
    </sheetView>
  </sheetViews>
  <sheetFormatPr baseColWidth="10" defaultColWidth="11.5546875" defaultRowHeight="14.4" x14ac:dyDescent="0.3"/>
  <cols>
    <col min="18" max="18" width="26" customWidth="1"/>
    <col min="19" max="19" width="7.21875" customWidth="1"/>
    <col min="30" max="30" width="17.21875" bestFit="1" customWidth="1"/>
    <col min="31" max="31" width="19" bestFit="1" customWidth="1"/>
  </cols>
  <sheetData>
    <row r="1" spans="4:33" ht="15.75" customHeight="1" x14ac:dyDescent="0.3">
      <c r="D1" s="15"/>
      <c r="E1" s="147" t="s">
        <v>195</v>
      </c>
      <c r="F1" s="148" t="s">
        <v>196</v>
      </c>
      <c r="G1" s="149"/>
      <c r="I1" s="40" t="str">
        <f>MID(J1,1,1)</f>
        <v>P</v>
      </c>
      <c r="J1" s="41" t="str">
        <f>Tablas1!$H$3</f>
        <v>Productos y/o servicios</v>
      </c>
      <c r="L1" s="40" t="str">
        <f>IF(Tablas1!$H$7="Factor5","",MID(Tablas1!$H$7,1,2))</f>
        <v>Cl</v>
      </c>
      <c r="M1" s="41" t="str">
        <f>Tablas1!$H$7</f>
        <v>Clientes</v>
      </c>
      <c r="Q1" s="45" t="str">
        <f>IF(R1=0,"",MID(R1,1,2))</f>
        <v>Co</v>
      </c>
      <c r="R1" s="44" t="str">
        <f>IF(Tablas1!$B$3=0,"",Tablas1!$B$3)</f>
        <v>Control Interno Disciplinario</v>
      </c>
      <c r="T1" s="46" t="str">
        <f>MID(U1,1,1)&amp;MID(U1,10,1)</f>
        <v>Eó</v>
      </c>
      <c r="U1" s="43" t="str">
        <f>IF(Tablas1!$B$7=0,"",Tablas1!$B$7)</f>
        <v xml:space="preserve">Explotación de JSA </v>
      </c>
      <c r="W1" s="46"/>
      <c r="X1" s="43"/>
      <c r="Y1" s="46" t="str">
        <f>MID(Z1,1,1)&amp;MID(Z1,17,1)</f>
        <v>Ga</v>
      </c>
      <c r="Z1" s="43" t="str">
        <f>IF(Tablas1!$B$11=0,"",Tablas1!$B$11)</f>
        <v>Gestión Documental</v>
      </c>
      <c r="AB1" s="46"/>
      <c r="AD1" s="46" t="str">
        <f t="shared" ref="AD1:AD2" si="0">MID(AE1,1,1)&amp;MID(AE1,17,1)</f>
        <v>Pe</v>
      </c>
      <c r="AE1" s="43" t="str">
        <f>IF(Tablas1!$B$15=0,"",Tablas1!$B$15)</f>
        <v>Planeación y Direccionamiento Estratégico</v>
      </c>
      <c r="AG1" s="46"/>
    </row>
    <row r="2" spans="4:33" ht="15.75" customHeight="1" x14ac:dyDescent="0.3">
      <c r="D2" s="15"/>
      <c r="E2" s="15"/>
      <c r="F2" s="15"/>
      <c r="G2" s="15"/>
      <c r="H2" s="15"/>
      <c r="I2" s="40" t="str">
        <f>MID(J2,1,1)</f>
        <v>C</v>
      </c>
      <c r="J2" s="41" t="str">
        <f>Tablas1!$H$4</f>
        <v>Canales comerciales y/o transaccionales</v>
      </c>
      <c r="L2" s="40" t="str">
        <f>IF(Tablas1!$H$8="Factor6","",MID(Tablas1!$H$8,1,2))</f>
        <v>Di</v>
      </c>
      <c r="M2" s="41" t="str">
        <f>Tablas1!$H$8</f>
        <v>Distribuidores y Gestores</v>
      </c>
      <c r="Q2" s="45" t="str">
        <f>MID(R2,1,1)&amp;MID(R2,3,1)</f>
        <v>Gs</v>
      </c>
      <c r="R2" s="44" t="str">
        <f>IF(Tablas1!$B$4=0,"",Tablas1!$B$4)</f>
        <v>Gestión Financiera y Contable</v>
      </c>
      <c r="T2" s="46" t="str">
        <f>MID(U2,1,2)</f>
        <v>Ge</v>
      </c>
      <c r="U2" s="43" t="str">
        <f>IF(Tablas1!$B$8=0,"",Tablas1!$B$8)</f>
        <v>Gestión de Bienes y Servicios</v>
      </c>
      <c r="W2" s="46"/>
      <c r="X2" s="43"/>
      <c r="Y2" s="46" t="str">
        <f t="shared" ref="Y2:Y4" si="1">MID(Z2,1,1)&amp;MID(Z2,17,1)</f>
        <v>Có</v>
      </c>
      <c r="Z2" s="43" t="str">
        <f>IF(Tablas1!$B$12=0,"",Tablas1!$B$12)</f>
        <v>Control Inspección y Fiscalización</v>
      </c>
      <c r="AB2" s="46"/>
      <c r="AD2" s="46" t="str">
        <f t="shared" si="0"/>
        <v>Gd</v>
      </c>
      <c r="AE2" s="43" t="str">
        <f>IF(Tablas1!$B$16=0,"",Tablas1!$B$16)</f>
        <v>Gestión de Recaudo</v>
      </c>
      <c r="AG2" s="46"/>
    </row>
    <row r="3" spans="4:33" ht="15" customHeight="1" x14ac:dyDescent="0.3">
      <c r="D3" s="15"/>
      <c r="E3" s="15"/>
      <c r="F3" s="15"/>
      <c r="G3" s="15"/>
      <c r="H3" s="15"/>
      <c r="I3" s="40" t="str">
        <f>MID(J3,1,1)</f>
        <v>J</v>
      </c>
      <c r="J3" s="41" t="str">
        <f>Tablas1!$H$5</f>
        <v>Jurisdicciones</v>
      </c>
      <c r="L3" s="40" t="str">
        <f>IF(Tablas1!$H$11="Factor7","",MID(Tablas1!$H$11,1,2))</f>
        <v>Co</v>
      </c>
      <c r="M3" s="41" t="str">
        <f>Tablas1!$H$11</f>
        <v>Contratistas</v>
      </c>
      <c r="Q3" s="45" t="str">
        <f>MID(R3,1,1)&amp;MID(R3,4,1)</f>
        <v>El</v>
      </c>
      <c r="R3" s="44" t="str">
        <f>IF(Tablas1!$B$5=0,"",Tablas1!$B$5)</f>
        <v>Evaluación Independiente y Control a la Gestión</v>
      </c>
      <c r="T3" s="46" t="str">
        <f>MID(U3,1,2)</f>
        <v>Ge</v>
      </c>
      <c r="U3" s="43" t="str">
        <f>IF(Tablas1!$B$9=0,"",Tablas1!$B$9)</f>
        <v>Gestión de Comunicaciones</v>
      </c>
      <c r="W3" s="46"/>
      <c r="X3" s="43"/>
      <c r="Y3" s="46" t="str">
        <f t="shared" si="1"/>
        <v>G</v>
      </c>
      <c r="Z3" s="43" t="str">
        <f>IF(Tablas1!$B$13=0,"",Tablas1!$B$13)</f>
        <v>Gestión Jurídica</v>
      </c>
      <c r="AB3" s="46"/>
    </row>
    <row r="4" spans="4:33" ht="15.6" customHeight="1" x14ac:dyDescent="0.3">
      <c r="D4" s="15"/>
      <c r="E4" s="15"/>
      <c r="F4" s="15"/>
      <c r="G4" s="15"/>
      <c r="H4" s="15"/>
      <c r="I4" s="40" t="str">
        <f>MID(J4,1,1)</f>
        <v>S</v>
      </c>
      <c r="J4" s="41" t="str">
        <f>Tablas1!$H$6</f>
        <v>Servidores Públicos y/o Contratistas</v>
      </c>
      <c r="L4" s="40" t="str">
        <f>IF(Tablas1!$H$11="Factor8","",MID(Tablas1!$H$11,1,2))</f>
        <v>Co</v>
      </c>
      <c r="M4" s="41" t="str">
        <f>Tablas1!$H$12</f>
        <v>Distribuidores</v>
      </c>
      <c r="Q4" s="45" t="str">
        <f>MID(R4,1,2)</f>
        <v>At</v>
      </c>
      <c r="R4" s="44" t="str">
        <f>IF(Tablas1!$B$6=0,"",Tablas1!$B$6)</f>
        <v>Atención y Servicio al Cliente</v>
      </c>
      <c r="T4" s="46" t="str">
        <f>MID(U4,1,1)&amp;MID(U4,17,1)</f>
        <v>Gt</v>
      </c>
      <c r="U4" s="43" t="str">
        <f>IF(Tablas1!$B$10=0,"",Tablas1!$B$10)</f>
        <v>Gestión de Talento Humano</v>
      </c>
      <c r="W4" s="46"/>
      <c r="X4" s="43"/>
      <c r="Y4" s="46" t="str">
        <f t="shared" si="1"/>
        <v>Ge</v>
      </c>
      <c r="Z4" s="43" t="str">
        <f>IF(Tablas1!$B$14=0,"",Tablas1!$B$14)</f>
        <v>Gestión de las Tecnologías y la Información</v>
      </c>
      <c r="AB4" s="46"/>
    </row>
    <row r="5" spans="4:33" ht="15.75" customHeight="1" x14ac:dyDescent="0.3">
      <c r="D5" s="15"/>
      <c r="E5" s="15"/>
      <c r="F5" s="15"/>
      <c r="G5" s="15"/>
      <c r="H5" s="15"/>
      <c r="P5" s="38"/>
      <c r="Q5" s="38"/>
      <c r="R5" s="38"/>
      <c r="X5" s="39"/>
      <c r="AB5" s="17"/>
    </row>
    <row r="6" spans="4:33" ht="15" customHeight="1" x14ac:dyDescent="0.3">
      <c r="D6" s="15"/>
      <c r="E6" s="15"/>
      <c r="F6" s="15"/>
      <c r="G6" s="15"/>
      <c r="H6" s="15"/>
      <c r="P6" s="38"/>
      <c r="Q6" s="38"/>
      <c r="R6" s="38"/>
      <c r="X6" s="39"/>
      <c r="AB6" s="17"/>
    </row>
    <row r="7" spans="4:33" ht="15.6" x14ac:dyDescent="0.3">
      <c r="P7" s="38"/>
      <c r="Q7" s="38"/>
      <c r="R7" s="38"/>
    </row>
    <row r="8" spans="4:33" ht="22.5" customHeight="1" x14ac:dyDescent="0.3"/>
    <row r="17" spans="1:27" ht="15.75" customHeight="1" x14ac:dyDescent="0.3"/>
    <row r="21" spans="1:27" ht="15" customHeight="1" x14ac:dyDescent="0.3"/>
    <row r="30" spans="1:27" ht="20.25" customHeight="1" x14ac:dyDescent="0.3"/>
    <row r="31" spans="1:27" ht="32.25" customHeight="1" x14ac:dyDescent="0.3">
      <c r="A31" s="232" t="s">
        <v>221</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0"/>
      <c r="AA31" s="20"/>
    </row>
    <row r="32" spans="1:27" ht="18" customHeight="1" x14ac:dyDescent="0.3"/>
    <row r="33" spans="5:32" ht="18" customHeight="1" x14ac:dyDescent="0.3"/>
    <row r="34" spans="5:32" ht="15" customHeight="1" x14ac:dyDescent="0.3">
      <c r="I34" s="40" t="str">
        <f>MID(J34,1,1)</f>
        <v>P</v>
      </c>
      <c r="J34" s="41" t="str">
        <f>Tablas1!$H$3</f>
        <v>Productos y/o servicios</v>
      </c>
      <c r="L34" s="40" t="str">
        <f>IF(Tablas1!$H$7="Factor5","",MID(Tablas1!$H$7,1,2))</f>
        <v>Cl</v>
      </c>
      <c r="M34" s="41" t="str">
        <f>Tablas1!$H$7</f>
        <v>Clientes</v>
      </c>
      <c r="Q34" s="45" t="str">
        <f>IF($R$34=0,"",MID($R$34,1,2))</f>
        <v>Co</v>
      </c>
      <c r="R34" s="44" t="str">
        <f>IF(Tablas1!$B$3=0,"",Tablas1!$B$3)</f>
        <v>Control Interno Disciplinario</v>
      </c>
      <c r="T34" s="46" t="str">
        <f>MID(U34,1,1)&amp;MID(U34,10,1)</f>
        <v>Eó</v>
      </c>
      <c r="U34" s="43" t="str">
        <f>IF(Tablas1!$B$7=0,"",Tablas1!$B$7)</f>
        <v xml:space="preserve">Explotación de JSA </v>
      </c>
      <c r="W34" s="46" t="s">
        <v>420</v>
      </c>
      <c r="X34" s="43" t="str">
        <f>IF(Tablas1!$B$11=0,"",Tablas1!$B$11)</f>
        <v>Gestión Documental</v>
      </c>
      <c r="Z34" s="46"/>
      <c r="AA34" s="43"/>
      <c r="AB34" s="46" t="s">
        <v>422</v>
      </c>
      <c r="AC34" s="43" t="str">
        <f>IF(Tablas1!$B$15=0,"",Tablas1!$B$15)</f>
        <v>Planeación y Direccionamiento Estratégico</v>
      </c>
      <c r="AE34" s="46"/>
      <c r="AF34" s="43"/>
    </row>
    <row r="35" spans="5:32" ht="21.75" customHeight="1" x14ac:dyDescent="0.3">
      <c r="I35" s="40" t="str">
        <f>MID($J$2,1,1)</f>
        <v>C</v>
      </c>
      <c r="J35" s="41" t="str">
        <f>Tablas1!$H$4</f>
        <v>Canales comerciales y/o transaccionales</v>
      </c>
      <c r="L35" s="40" t="str">
        <f>IF(Tablas1!$H$8="Factor5","",MID(Tablas1!$H$8,1,2))</f>
        <v>Di</v>
      </c>
      <c r="M35" s="41" t="str">
        <f>Tablas1!$H$8</f>
        <v>Distribuidores y Gestores</v>
      </c>
      <c r="Q35" s="45" t="str">
        <f>MID(R35,1,1)&amp;MID(R35,3,1)</f>
        <v>Gs</v>
      </c>
      <c r="R35" s="44" t="str">
        <f>IF(Tablas1!$B$4=0,"",Tablas1!$B$4)</f>
        <v>Gestión Financiera y Contable</v>
      </c>
      <c r="T35" s="46" t="str">
        <f>MID(U35,1,2)</f>
        <v>Ge</v>
      </c>
      <c r="U35" s="43" t="str">
        <f>IF(Tablas1!$B$8=0,"",Tablas1!$B$8)</f>
        <v>Gestión de Bienes y Servicios</v>
      </c>
      <c r="W35" s="46" t="s">
        <v>419</v>
      </c>
      <c r="X35" s="43" t="str">
        <f>IF(Tablas1!$B$12=0,"",Tablas1!$B$12)</f>
        <v>Control Inspección y Fiscalización</v>
      </c>
      <c r="Z35" s="46"/>
      <c r="AA35" s="43"/>
      <c r="AB35" s="46" t="s">
        <v>421</v>
      </c>
      <c r="AC35" s="43" t="str">
        <f>IF(Tablas1!$B$16=0,"",Tablas1!$B$16)</f>
        <v>Gestión de Recaudo</v>
      </c>
      <c r="AF35" s="43"/>
    </row>
    <row r="36" spans="5:32" ht="15" customHeight="1" x14ac:dyDescent="0.3">
      <c r="E36" s="147" t="s">
        <v>198</v>
      </c>
      <c r="F36" s="148" t="s">
        <v>197</v>
      </c>
      <c r="G36" s="149"/>
      <c r="I36" s="40" t="str">
        <f>MID($J$3,1,1)</f>
        <v>J</v>
      </c>
      <c r="J36" s="41" t="str">
        <f>Tablas1!$H$5</f>
        <v>Jurisdicciones</v>
      </c>
      <c r="L36" s="40" t="str">
        <f>IF(Tablas1!$H$11="Factor5","",MID(Tablas1!$H$11,1,2))</f>
        <v>Co</v>
      </c>
      <c r="M36" s="41" t="str">
        <f>Tablas1!$H$11</f>
        <v>Contratistas</v>
      </c>
      <c r="Q36" s="45" t="str">
        <f>MID(R36,1,1)&amp;MID(R36,4,1)</f>
        <v>El</v>
      </c>
      <c r="R36" s="44" t="str">
        <f>IF(Tablas1!$B$5=0,"",Tablas1!$B$5)</f>
        <v>Evaluación Independiente y Control a la Gestión</v>
      </c>
      <c r="T36" s="46" t="str">
        <f>MID(U36,1,2)</f>
        <v>Ge</v>
      </c>
      <c r="U36" s="43" t="str">
        <f>IF(Tablas1!$B$9=0,"",Tablas1!$B$9)</f>
        <v>Gestión de Comunicaciones</v>
      </c>
      <c r="W36" s="46" t="s">
        <v>422</v>
      </c>
      <c r="X36" s="43" t="str">
        <f>IF(Tablas1!$B$13=0,"",Tablas1!$B$13)</f>
        <v>Gestión Jurídica</v>
      </c>
      <c r="Z36" s="46"/>
      <c r="AA36" s="43"/>
    </row>
    <row r="37" spans="5:32" ht="15" customHeight="1" x14ac:dyDescent="0.3">
      <c r="I37" s="40" t="str">
        <f>MID($J$4,1,1)</f>
        <v>S</v>
      </c>
      <c r="J37" s="41" t="str">
        <f>Tablas1!$H$6</f>
        <v>Servidores Públicos y/o Contratistas</v>
      </c>
      <c r="L37" s="40" t="str">
        <f>IF(Tablas1!$H$11="Factor8","",MID(Tablas1!$H$11,1,2))</f>
        <v>Co</v>
      </c>
      <c r="M37" s="41" t="str">
        <f>Tablas1!$H$12</f>
        <v>Distribuidores</v>
      </c>
      <c r="Q37" s="45" t="str">
        <f>MID(R37,1,2)</f>
        <v>At</v>
      </c>
      <c r="R37" s="44" t="str">
        <f>IF(Tablas1!$B$6=0,"",Tablas1!$B$6)</f>
        <v>Atención y Servicio al Cliente</v>
      </c>
      <c r="T37" s="46" t="str">
        <f>MID(U37,1,1)&amp;MID(U37,17,1)</f>
        <v>Gt</v>
      </c>
      <c r="U37" s="43" t="str">
        <f>IF(Tablas1!$B$10=0,"",Tablas1!$B$10)</f>
        <v>Gestión de Talento Humano</v>
      </c>
      <c r="W37" s="46" t="s">
        <v>421</v>
      </c>
      <c r="X37" s="43" t="str">
        <f>IF(Tablas1!$B$14=0,"",Tablas1!$B$14)</f>
        <v>Gestión de las Tecnologías y la Información</v>
      </c>
      <c r="AA37" s="43"/>
    </row>
    <row r="38" spans="5:32" ht="19.5" customHeight="1" x14ac:dyDescent="0.3">
      <c r="P38" s="38"/>
      <c r="Q38" s="38"/>
      <c r="R38" s="38"/>
      <c r="X38" s="39"/>
    </row>
    <row r="39" spans="5:32" ht="19.5" customHeight="1" x14ac:dyDescent="0.3"/>
    <row r="40" spans="5:32" ht="19.5" customHeight="1" x14ac:dyDescent="0.3"/>
    <row r="41" spans="5:32" ht="19.5" customHeight="1" x14ac:dyDescent="0.3"/>
    <row r="42" spans="5:32" ht="19.5" customHeight="1" x14ac:dyDescent="0.3"/>
    <row r="43" spans="5:32" ht="19.5" customHeight="1" x14ac:dyDescent="0.3"/>
    <row r="44" spans="5:32" ht="15" customHeight="1" x14ac:dyDescent="0.3"/>
    <row r="45" spans="5:32" ht="15" customHeight="1" x14ac:dyDescent="0.3"/>
    <row r="46" spans="5:32" ht="15" customHeight="1" x14ac:dyDescent="0.3"/>
    <row r="47" spans="5:32" ht="15" customHeight="1" x14ac:dyDescent="0.3"/>
    <row r="48" spans="5:32"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sheetData>
  <mergeCells count="1">
    <mergeCell ref="A31:Y31"/>
  </mergeCells>
  <conditionalFormatting sqref="L1:M1 L34:M34 L35:L36 L2:L4">
    <cfRule type="expression" dxfId="5" priority="11">
      <formula>$M$1="Factor5"</formula>
    </cfRule>
  </conditionalFormatting>
  <conditionalFormatting sqref="M2 M35">
    <cfRule type="expression" dxfId="4" priority="10">
      <formula>$M$2="Factor6"</formula>
    </cfRule>
  </conditionalFormatting>
  <conditionalFormatting sqref="M3 M36">
    <cfRule type="expression" dxfId="3" priority="9">
      <formula>$M$3="Factor7"</formula>
    </cfRule>
  </conditionalFormatting>
  <conditionalFormatting sqref="M4">
    <cfRule type="expression" dxfId="2" priority="3">
      <formula>$M$3="Factor7"</formula>
    </cfRule>
  </conditionalFormatting>
  <conditionalFormatting sqref="L37">
    <cfRule type="expression" dxfId="1" priority="2">
      <formula>$M$1="Factor5"</formula>
    </cfRule>
  </conditionalFormatting>
  <conditionalFormatting sqref="M37">
    <cfRule type="expression" dxfId="0" priority="1">
      <formula>$M$3="Factor7"</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6"/>
  <sheetViews>
    <sheetView workbookViewId="0">
      <selection activeCell="C27" sqref="C27"/>
    </sheetView>
  </sheetViews>
  <sheetFormatPr baseColWidth="10" defaultColWidth="11.5546875" defaultRowHeight="14.4" x14ac:dyDescent="0.3"/>
  <cols>
    <col min="1" max="1" width="25.77734375" customWidth="1"/>
    <col min="2" max="2" width="17.21875" customWidth="1"/>
    <col min="3" max="3" width="31.77734375" customWidth="1"/>
    <col min="4" max="4" width="17.21875" customWidth="1"/>
    <col min="5" max="5" width="23.21875" customWidth="1"/>
    <col min="6" max="6" width="38" customWidth="1"/>
  </cols>
  <sheetData>
    <row r="1" spans="1:7" s="5" customFormat="1" x14ac:dyDescent="0.3">
      <c r="A1" s="7" t="s">
        <v>12</v>
      </c>
      <c r="B1" s="7" t="s">
        <v>13</v>
      </c>
      <c r="C1" s="7" t="s">
        <v>48</v>
      </c>
      <c r="D1" s="7" t="s">
        <v>49</v>
      </c>
      <c r="E1" s="7" t="s">
        <v>14</v>
      </c>
      <c r="F1" s="7" t="s">
        <v>23</v>
      </c>
      <c r="G1" s="9" t="s">
        <v>32</v>
      </c>
    </row>
    <row r="2" spans="1:7" x14ac:dyDescent="0.3">
      <c r="A2" s="13" t="s">
        <v>50</v>
      </c>
      <c r="B2" s="13" t="s">
        <v>15</v>
      </c>
      <c r="C2" s="8" t="s">
        <v>56</v>
      </c>
      <c r="D2" s="235" t="s">
        <v>15</v>
      </c>
      <c r="E2" s="8" t="s">
        <v>22</v>
      </c>
      <c r="F2" s="8" t="s">
        <v>24</v>
      </c>
      <c r="G2" s="10" t="s">
        <v>33</v>
      </c>
    </row>
    <row r="3" spans="1:7" x14ac:dyDescent="0.3">
      <c r="A3" s="8" t="s">
        <v>51</v>
      </c>
      <c r="B3" s="8" t="s">
        <v>16</v>
      </c>
      <c r="C3" s="8" t="s">
        <v>57</v>
      </c>
      <c r="D3" s="236"/>
      <c r="E3" s="8" t="s">
        <v>10</v>
      </c>
      <c r="F3" s="8" t="s">
        <v>25</v>
      </c>
      <c r="G3" s="10" t="s">
        <v>34</v>
      </c>
    </row>
    <row r="4" spans="1:7" x14ac:dyDescent="0.3">
      <c r="A4" s="8" t="s">
        <v>52</v>
      </c>
      <c r="B4" s="8" t="s">
        <v>17</v>
      </c>
      <c r="C4" s="8" t="s">
        <v>58</v>
      </c>
      <c r="D4" s="233" t="s">
        <v>16</v>
      </c>
      <c r="E4" s="8" t="s">
        <v>11</v>
      </c>
      <c r="F4" s="8" t="s">
        <v>26</v>
      </c>
      <c r="G4" s="10" t="s">
        <v>35</v>
      </c>
    </row>
    <row r="5" spans="1:7" x14ac:dyDescent="0.3">
      <c r="A5" s="8" t="s">
        <v>53</v>
      </c>
      <c r="B5" s="8" t="s">
        <v>18</v>
      </c>
      <c r="C5" s="8" t="s">
        <v>59</v>
      </c>
      <c r="D5" s="234"/>
      <c r="E5" s="8" t="s">
        <v>9</v>
      </c>
      <c r="F5" s="8" t="s">
        <v>27</v>
      </c>
      <c r="G5" s="10" t="s">
        <v>36</v>
      </c>
    </row>
    <row r="6" spans="1:7" x14ac:dyDescent="0.3">
      <c r="A6" s="8" t="s">
        <v>54</v>
      </c>
      <c r="B6" s="8" t="s">
        <v>19</v>
      </c>
      <c r="C6" s="12" t="s">
        <v>60</v>
      </c>
      <c r="D6" s="234"/>
      <c r="F6" s="8" t="s">
        <v>28</v>
      </c>
      <c r="G6" s="11" t="s">
        <v>37</v>
      </c>
    </row>
    <row r="7" spans="1:7" x14ac:dyDescent="0.3">
      <c r="A7" s="8" t="s">
        <v>55</v>
      </c>
      <c r="B7" s="8" t="s">
        <v>20</v>
      </c>
      <c r="C7" s="12" t="s">
        <v>61</v>
      </c>
      <c r="D7" s="234"/>
      <c r="F7" s="8" t="s">
        <v>29</v>
      </c>
    </row>
    <row r="8" spans="1:7" x14ac:dyDescent="0.3">
      <c r="A8" s="8" t="s">
        <v>83</v>
      </c>
      <c r="B8" s="8" t="s">
        <v>84</v>
      </c>
      <c r="C8" s="12" t="s">
        <v>62</v>
      </c>
      <c r="D8" s="234"/>
      <c r="F8" s="8" t="s">
        <v>30</v>
      </c>
    </row>
    <row r="9" spans="1:7" x14ac:dyDescent="0.3">
      <c r="C9" s="12" t="s">
        <v>63</v>
      </c>
      <c r="D9" s="234" t="s">
        <v>78</v>
      </c>
      <c r="F9" s="8" t="s">
        <v>31</v>
      </c>
    </row>
    <row r="10" spans="1:7" x14ac:dyDescent="0.3">
      <c r="C10" s="12" t="s">
        <v>64</v>
      </c>
      <c r="D10" s="234"/>
    </row>
    <row r="11" spans="1:7" x14ac:dyDescent="0.3">
      <c r="C11" s="12" t="s">
        <v>79</v>
      </c>
      <c r="D11" s="234"/>
    </row>
    <row r="12" spans="1:7" x14ac:dyDescent="0.3">
      <c r="C12" s="12" t="s">
        <v>65</v>
      </c>
      <c r="D12" s="234"/>
    </row>
    <row r="13" spans="1:7" x14ac:dyDescent="0.3">
      <c r="C13" s="12" t="s">
        <v>66</v>
      </c>
      <c r="D13" s="234"/>
    </row>
    <row r="14" spans="1:7" x14ac:dyDescent="0.3">
      <c r="C14" s="12" t="s">
        <v>67</v>
      </c>
      <c r="D14" s="234"/>
    </row>
    <row r="15" spans="1:7" x14ac:dyDescent="0.3">
      <c r="C15" s="12" t="s">
        <v>80</v>
      </c>
      <c r="D15" s="234"/>
    </row>
    <row r="16" spans="1:7" x14ac:dyDescent="0.3">
      <c r="C16" s="12" t="s">
        <v>68</v>
      </c>
      <c r="D16" s="234" t="s">
        <v>77</v>
      </c>
    </row>
    <row r="17" spans="3:4" x14ac:dyDescent="0.3">
      <c r="C17" s="12" t="s">
        <v>69</v>
      </c>
      <c r="D17" s="234"/>
    </row>
    <row r="18" spans="3:4" x14ac:dyDescent="0.3">
      <c r="C18" s="12" t="s">
        <v>70</v>
      </c>
      <c r="D18" s="234"/>
    </row>
    <row r="19" spans="3:4" x14ac:dyDescent="0.3">
      <c r="C19" s="12" t="s">
        <v>71</v>
      </c>
      <c r="D19" s="234"/>
    </row>
    <row r="20" spans="3:4" x14ac:dyDescent="0.3">
      <c r="C20" s="12" t="s">
        <v>72</v>
      </c>
      <c r="D20" s="234"/>
    </row>
    <row r="21" spans="3:4" x14ac:dyDescent="0.3">
      <c r="C21" s="12" t="s">
        <v>61</v>
      </c>
      <c r="D21" s="234"/>
    </row>
    <row r="22" spans="3:4" x14ac:dyDescent="0.3">
      <c r="C22" s="12" t="s">
        <v>82</v>
      </c>
      <c r="D22" s="234"/>
    </row>
    <row r="23" spans="3:4" x14ac:dyDescent="0.3">
      <c r="C23" s="12" t="s">
        <v>73</v>
      </c>
      <c r="D23" s="234"/>
    </row>
    <row r="24" spans="3:4" x14ac:dyDescent="0.3">
      <c r="C24" s="12" t="s">
        <v>74</v>
      </c>
      <c r="D24" s="1" t="s">
        <v>19</v>
      </c>
    </row>
    <row r="25" spans="3:4" x14ac:dyDescent="0.3">
      <c r="C25" s="12" t="s">
        <v>75</v>
      </c>
      <c r="D25" s="233" t="s">
        <v>20</v>
      </c>
    </row>
    <row r="26" spans="3:4" x14ac:dyDescent="0.3">
      <c r="C26" s="12" t="s">
        <v>76</v>
      </c>
      <c r="D26" s="234"/>
    </row>
  </sheetData>
  <mergeCells count="5">
    <mergeCell ref="D25:D26"/>
    <mergeCell ref="D16:D23"/>
    <mergeCell ref="D9:D15"/>
    <mergeCell ref="D4:D8"/>
    <mergeCell ref="D2:D3"/>
  </mergeCell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SAGRILAFT</vt:lpstr>
      <vt:lpstr>LA-FT-FPADM</vt:lpstr>
      <vt:lpstr>Tablas1</vt:lpstr>
      <vt:lpstr>Puntuaciones</vt:lpstr>
      <vt:lpstr>Hoja2</vt:lpstr>
      <vt:lpstr>Hoja3</vt:lpstr>
      <vt:lpstr>Hoja4</vt:lpstr>
      <vt:lpstr>Hoja5</vt:lpstr>
      <vt:lpstr>Hoja6</vt:lpstr>
      <vt:lpstr>R I</vt:lpstr>
      <vt:lpstr>R I (2)</vt:lpstr>
      <vt:lpstr>RI Consolidado por FR</vt:lpstr>
      <vt:lpstr>Controles</vt:lpstr>
      <vt:lpstr>R R</vt:lpstr>
      <vt:lpstr>RR Consolidado por FR</vt:lpstr>
      <vt:lpstr>Mapa de riesgo</vt:lpstr>
      <vt:lpstr>Tablas1!Área_de_impresión</vt:lpstr>
      <vt:lpstr>CODIGOPROCESO</vt:lpstr>
      <vt:lpstr>'R I (2)'!codr</vt:lpstr>
      <vt:lpstr>codr</vt:lpstr>
      <vt:lpstr>CONSECUENCIAS</vt:lpstr>
      <vt:lpstr>ctrl</vt:lpstr>
      <vt:lpstr>ESTADOS</vt:lpstr>
      <vt:lpstr>Factorderiesgo</vt:lpstr>
      <vt:lpstr>FACTORES</vt:lpstr>
      <vt:lpstr>Factoresriesgo</vt:lpstr>
      <vt:lpstr>pr</vt:lpstr>
      <vt:lpstr>PROCESOS</vt:lpstr>
      <vt:lpstr>RIEGO</vt:lpstr>
      <vt:lpstr>SUBPROCESOS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LATORRE</dc:creator>
  <cp:lastModifiedBy>Jordan Guzman Vargas</cp:lastModifiedBy>
  <cp:lastPrinted>2018-12-06T16:58:20Z</cp:lastPrinted>
  <dcterms:created xsi:type="dcterms:W3CDTF">2011-04-25T19:59:14Z</dcterms:created>
  <dcterms:modified xsi:type="dcterms:W3CDTF">2024-07-17T16:34:04Z</dcterms:modified>
</cp:coreProperties>
</file>