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drawings/drawing4.xml" ContentType="application/vnd.openxmlformats-officedocument.drawing+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drawings/drawing8.xml" ContentType="application/vnd.openxmlformats-officedocument.drawing+xml"/>
  <Override PartName="/xl/drawings/drawing9.xml" ContentType="application/vnd.openxmlformats-officedocument.drawing+xml"/>
  <Override PartName="/xl/tables/table16.xml" ContentType="application/vnd.openxmlformats-officedocument.spreadsheetml.table+xml"/>
  <Override PartName="/xl/drawings/drawing10.xml" ContentType="application/vnd.openxmlformats-officedocument.drawing+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drawings/drawing1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style1.xml" ContentType="application/vnd.ms-office.chartstyle+xml"/>
  <Override PartName="/xl/charts/colors1.xml" ContentType="application/vnd.ms-office.chartcolorstyle+xml"/>
  <Override PartName="/xl/charts/chart8.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hidePivotFieldList="1" defaultThemeVersion="124226"/>
  <mc:AlternateContent xmlns:mc="http://schemas.openxmlformats.org/markup-compatibility/2006">
    <mc:Choice Requires="x15">
      <x15ac:absPath xmlns:x15ac="http://schemas.microsoft.com/office/spreadsheetml/2010/11/ac" url="C:\Users\jorguz\Documents\Loteria\2024\Julio\17\Yurani matrices\"/>
    </mc:Choice>
  </mc:AlternateContent>
  <bookViews>
    <workbookView xWindow="0" yWindow="0" windowWidth="17256" windowHeight="5640" tabRatio="733" firstSheet="1" activeTab="1"/>
  </bookViews>
  <sheets>
    <sheet name="SAGRILAFT" sheetId="11" state="hidden" r:id="rId1"/>
    <sheet name="LA-FT-FPADM" sheetId="31" r:id="rId2"/>
    <sheet name="Tablas1" sheetId="15" r:id="rId3"/>
    <sheet name="Puntuaciones" sheetId="21" r:id="rId4"/>
    <sheet name="Hoja2" sheetId="26" state="hidden" r:id="rId5"/>
    <sheet name="Hoja3" sheetId="27" state="hidden" r:id="rId6"/>
    <sheet name="Hoja4" sheetId="28" state="hidden" r:id="rId7"/>
    <sheet name="Hoja5" sheetId="29" state="hidden" r:id="rId8"/>
    <sheet name="Hoja6" sheetId="30" state="hidden" r:id="rId9"/>
    <sheet name="R I" sheetId="6" r:id="rId10"/>
    <sheet name="R I (2)" sheetId="23" state="hidden" r:id="rId11"/>
    <sheet name="RI Consolidado por FR" sheetId="14" r:id="rId12"/>
    <sheet name="Controles" sheetId="19" r:id="rId13"/>
    <sheet name="R R" sheetId="17" r:id="rId14"/>
    <sheet name="RR Consolidado por FR" sheetId="20" r:id="rId15"/>
    <sheet name="Mapa de riesgo" sheetId="12" r:id="rId16"/>
    <sheet name="Tablas" sheetId="8" state="veryHidden" r:id="rId17"/>
  </sheets>
  <definedNames>
    <definedName name="_xlnm._FilterDatabase" localSheetId="12" hidden="1">Controles!$A$8:$AP$44</definedName>
    <definedName name="_xlnm._FilterDatabase" localSheetId="9" hidden="1">'R I'!$B$6:$AM$20</definedName>
    <definedName name="_xlnm._FilterDatabase" localSheetId="10" hidden="1">'R I (2)'!$B$1:$AH$89</definedName>
    <definedName name="_xlnm._FilterDatabase" localSheetId="13" hidden="1">'R R'!$B$5:$X$23</definedName>
    <definedName name="_xlnm.Print_Area" localSheetId="2">Tablas1!$B$2:$M$38</definedName>
    <definedName name="codeve" localSheetId="1">#REF!</definedName>
    <definedName name="codeve">#REF!</definedName>
    <definedName name="CODIGOPROCESO">Tablas!$B$2:$B$13</definedName>
    <definedName name="codr" localSheetId="10">'R I (2)'!$E$2:$X$1048576</definedName>
    <definedName name="codr">'R I'!$E$7:$AC$1048576</definedName>
    <definedName name="CONSECUENCIAS">Tablas!$F$2:$F$12</definedName>
    <definedName name="ctrl">Controles!$B$9:$AE$1048576</definedName>
    <definedName name="ESTADOS">Tablas!$G$2:$G$6</definedName>
    <definedName name="Factorderiesgo">Tablas!$E$2:$E$5</definedName>
    <definedName name="FACTORES">Tablas!$E$2:$E$5</definedName>
    <definedName name="Factoresriesgo">Tablas!$E$2:$E$5</definedName>
    <definedName name="MEDIDAS" localSheetId="1">'Mapa de riesgo'!#REF!</definedName>
    <definedName name="MEDIDAS">'Mapa de riesgo'!#REF!</definedName>
    <definedName name="pr">Controles!$AO$9:$AP$12</definedName>
    <definedName name="PROCESOS">Tablas!$A$2:$A$13</definedName>
    <definedName name="RIEGO">Tablas1!$B$30:$C$33</definedName>
    <definedName name="SUBPROCESOS">Tablas!$C$2:$C$26</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9" i="17" l="1"/>
  <c r="E11" i="17" l="1"/>
  <c r="E12" i="17"/>
  <c r="E13" i="17"/>
  <c r="E14" i="17"/>
  <c r="E15" i="17"/>
  <c r="E16" i="17"/>
  <c r="E17" i="17"/>
  <c r="E18" i="17"/>
  <c r="E19" i="17"/>
  <c r="E20" i="17"/>
  <c r="E21" i="17"/>
  <c r="E22" i="17"/>
  <c r="E23" i="17"/>
  <c r="E10" i="17"/>
  <c r="E9" i="17"/>
  <c r="D19" i="17"/>
  <c r="D20" i="17"/>
  <c r="D21" i="17"/>
  <c r="D22" i="17"/>
  <c r="D23" i="17"/>
  <c r="C19" i="17"/>
  <c r="C20" i="17"/>
  <c r="C21" i="17"/>
  <c r="C22" i="17"/>
  <c r="C23" i="17"/>
  <c r="D14" i="17"/>
  <c r="D15" i="17"/>
  <c r="D16" i="17"/>
  <c r="D17" i="17"/>
  <c r="D18" i="17"/>
  <c r="C14" i="17"/>
  <c r="C15" i="17"/>
  <c r="C16" i="17"/>
  <c r="C17" i="17"/>
  <c r="C18" i="17"/>
  <c r="D13" i="17"/>
  <c r="C13" i="17"/>
  <c r="AD45" i="19"/>
  <c r="AD33" i="19"/>
  <c r="AD31" i="19"/>
  <c r="AD30" i="19"/>
  <c r="AD41" i="19"/>
  <c r="AD42" i="19"/>
  <c r="AB46" i="19"/>
  <c r="X46" i="19"/>
  <c r="T46" i="19"/>
  <c r="AB45" i="19"/>
  <c r="X45" i="19"/>
  <c r="T45" i="19"/>
  <c r="R21" i="6"/>
  <c r="U21" i="6" s="1"/>
  <c r="P21" i="6"/>
  <c r="I21" i="6"/>
  <c r="H21" i="6"/>
  <c r="E21" i="6"/>
  <c r="AC46" i="19" l="1"/>
  <c r="AC45" i="19"/>
  <c r="AE45" i="19" s="1"/>
  <c r="S21" i="6"/>
  <c r="T21" i="6"/>
  <c r="V21" i="6"/>
  <c r="AE30" i="19"/>
  <c r="AA21" i="6" l="1"/>
  <c r="AB21" i="6" s="1"/>
  <c r="AC21" i="6" s="1"/>
  <c r="R17" i="6"/>
  <c r="V17" i="6" s="1"/>
  <c r="P17" i="6"/>
  <c r="I17" i="6"/>
  <c r="H17" i="6"/>
  <c r="E17" i="6"/>
  <c r="S17" i="6" l="1"/>
  <c r="U17" i="6"/>
  <c r="T17" i="6"/>
  <c r="AA17" i="6" l="1"/>
  <c r="AB17" i="6" s="1"/>
  <c r="AC17" i="6" s="1"/>
  <c r="G69" i="23" l="1"/>
  <c r="G68" i="23"/>
  <c r="G67" i="23"/>
  <c r="G66" i="23"/>
  <c r="E20" i="6" l="1"/>
  <c r="E19" i="6"/>
  <c r="I20" i="6" l="1"/>
  <c r="H20" i="6"/>
  <c r="R20" i="6"/>
  <c r="V20" i="6" s="1"/>
  <c r="P20" i="6"/>
  <c r="I19" i="6"/>
  <c r="H19" i="6"/>
  <c r="R19" i="6"/>
  <c r="V19" i="6" s="1"/>
  <c r="P19" i="6"/>
  <c r="I18" i="6"/>
  <c r="H18" i="6"/>
  <c r="R18" i="6"/>
  <c r="U18" i="6" s="1"/>
  <c r="P18" i="6"/>
  <c r="I16" i="6"/>
  <c r="H16" i="6"/>
  <c r="R16" i="6"/>
  <c r="V16" i="6" s="1"/>
  <c r="P16" i="6"/>
  <c r="I13" i="6"/>
  <c r="H13" i="6"/>
  <c r="I15" i="6"/>
  <c r="H15" i="6"/>
  <c r="I14" i="6"/>
  <c r="H14" i="6"/>
  <c r="R13" i="6"/>
  <c r="T13" i="6" s="1"/>
  <c r="P13" i="6"/>
  <c r="I12" i="6"/>
  <c r="H12" i="6"/>
  <c r="R12" i="6"/>
  <c r="V12" i="6" s="1"/>
  <c r="P12" i="6"/>
  <c r="R8" i="6"/>
  <c r="V8" i="6" s="1"/>
  <c r="P8" i="6"/>
  <c r="I8" i="6"/>
  <c r="H8" i="6"/>
  <c r="E8" i="6"/>
  <c r="R11" i="6"/>
  <c r="V11" i="6" s="1"/>
  <c r="P11" i="6"/>
  <c r="I11" i="6"/>
  <c r="H11" i="6"/>
  <c r="E11" i="6"/>
  <c r="I10" i="6"/>
  <c r="I9" i="6"/>
  <c r="H89" i="23"/>
  <c r="H88" i="23"/>
  <c r="H87" i="23"/>
  <c r="H86" i="23"/>
  <c r="H85" i="23"/>
  <c r="H84" i="23"/>
  <c r="H83" i="23"/>
  <c r="H82" i="23"/>
  <c r="H81" i="23"/>
  <c r="H80" i="23"/>
  <c r="H79" i="23"/>
  <c r="H78" i="23"/>
  <c r="H77" i="23"/>
  <c r="H76" i="23"/>
  <c r="H75" i="23"/>
  <c r="H74" i="23"/>
  <c r="H73" i="23"/>
  <c r="H72" i="23"/>
  <c r="H71" i="23"/>
  <c r="H70" i="23"/>
  <c r="H69" i="23"/>
  <c r="H68" i="23"/>
  <c r="H67" i="23"/>
  <c r="H66" i="23"/>
  <c r="H65" i="23"/>
  <c r="H64" i="23"/>
  <c r="H63" i="23"/>
  <c r="H62" i="23"/>
  <c r="H61" i="23"/>
  <c r="H60" i="23"/>
  <c r="H59" i="23"/>
  <c r="H58" i="23"/>
  <c r="H57" i="23"/>
  <c r="H56" i="23"/>
  <c r="H55" i="23"/>
  <c r="H54" i="23"/>
  <c r="H53" i="23"/>
  <c r="H52" i="23"/>
  <c r="H51" i="23"/>
  <c r="H50" i="23"/>
  <c r="H49" i="23"/>
  <c r="H48" i="23"/>
  <c r="H47" i="23"/>
  <c r="H46" i="23"/>
  <c r="H45" i="23"/>
  <c r="H44" i="23"/>
  <c r="H43" i="23"/>
  <c r="H42" i="23"/>
  <c r="H41" i="23"/>
  <c r="H40" i="23"/>
  <c r="H39" i="23"/>
  <c r="H38" i="23"/>
  <c r="H37" i="23"/>
  <c r="H36" i="23"/>
  <c r="H35" i="23"/>
  <c r="H34" i="23"/>
  <c r="H33" i="23"/>
  <c r="H32" i="23"/>
  <c r="H31" i="23"/>
  <c r="H30" i="23"/>
  <c r="H29" i="23"/>
  <c r="H28" i="23"/>
  <c r="H27" i="23"/>
  <c r="H26" i="23"/>
  <c r="H25" i="23"/>
  <c r="H24" i="23"/>
  <c r="H23" i="23"/>
  <c r="H22" i="23"/>
  <c r="H21" i="23"/>
  <c r="H20" i="23"/>
  <c r="H19" i="23"/>
  <c r="H18" i="23"/>
  <c r="H17" i="23"/>
  <c r="H16" i="23"/>
  <c r="H15" i="23"/>
  <c r="H14" i="23"/>
  <c r="H13" i="23"/>
  <c r="H12" i="23"/>
  <c r="H11" i="23"/>
  <c r="H10" i="23"/>
  <c r="H9" i="23"/>
  <c r="H8" i="23"/>
  <c r="H7" i="23"/>
  <c r="H6" i="23"/>
  <c r="H5" i="23"/>
  <c r="H4" i="23"/>
  <c r="H3" i="23"/>
  <c r="H2" i="23"/>
  <c r="I7" i="6"/>
  <c r="H10" i="6"/>
  <c r="R10" i="6"/>
  <c r="V10" i="6" s="1"/>
  <c r="H9" i="6"/>
  <c r="V18" i="6" l="1"/>
  <c r="T18" i="6"/>
  <c r="T20" i="6"/>
  <c r="S20" i="6"/>
  <c r="U20" i="6"/>
  <c r="S19" i="6"/>
  <c r="T19" i="6"/>
  <c r="U19" i="6"/>
  <c r="S18" i="6"/>
  <c r="S13" i="6"/>
  <c r="U13" i="6"/>
  <c r="V13" i="6"/>
  <c r="S16" i="6"/>
  <c r="T16" i="6"/>
  <c r="U16" i="6"/>
  <c r="S12" i="6"/>
  <c r="T12" i="6"/>
  <c r="U12" i="6"/>
  <c r="S8" i="6"/>
  <c r="T8" i="6"/>
  <c r="U8" i="6"/>
  <c r="S11" i="6"/>
  <c r="T11" i="6"/>
  <c r="U11" i="6"/>
  <c r="S10" i="6"/>
  <c r="T10" i="6"/>
  <c r="U10" i="6"/>
  <c r="P7" i="6"/>
  <c r="M37" i="12"/>
  <c r="L37" i="12"/>
  <c r="M4" i="12"/>
  <c r="L4" i="12"/>
  <c r="AC35" i="12"/>
  <c r="AC34" i="12"/>
  <c r="AE2" i="12"/>
  <c r="AD2" i="12" s="1"/>
  <c r="AE1" i="12"/>
  <c r="AD1" i="12" s="1"/>
  <c r="Z4" i="12"/>
  <c r="Y4" i="12" s="1"/>
  <c r="Z3" i="12"/>
  <c r="Y3" i="12" s="1"/>
  <c r="Z2" i="12"/>
  <c r="Y2" i="12" s="1"/>
  <c r="Z1" i="12"/>
  <c r="Y1" i="12" s="1"/>
  <c r="AA19" i="6" l="1"/>
  <c r="AB19" i="6" s="1"/>
  <c r="AC19" i="6" s="1"/>
  <c r="AA20" i="6"/>
  <c r="AB20" i="6" s="1"/>
  <c r="AC20" i="6" s="1"/>
  <c r="AA11" i="6"/>
  <c r="AB11" i="6" s="1"/>
  <c r="AC11" i="6" s="1"/>
  <c r="L9" i="20"/>
  <c r="L8" i="20"/>
  <c r="L7" i="20"/>
  <c r="L6" i="20"/>
  <c r="P9" i="6" l="1"/>
  <c r="P10" i="6"/>
  <c r="L10" i="17" l="1"/>
  <c r="M10" i="17"/>
  <c r="N10" i="17"/>
  <c r="O10" i="17"/>
  <c r="L11" i="17"/>
  <c r="M11" i="17"/>
  <c r="N11" i="17"/>
  <c r="O11" i="17"/>
  <c r="L12" i="17"/>
  <c r="M12" i="17"/>
  <c r="N12" i="17"/>
  <c r="O12" i="17"/>
  <c r="L13" i="17"/>
  <c r="M13" i="17"/>
  <c r="N13" i="17"/>
  <c r="O13" i="17"/>
  <c r="L14" i="17"/>
  <c r="M14" i="17"/>
  <c r="N14" i="17"/>
  <c r="O14" i="17"/>
  <c r="L15" i="17"/>
  <c r="M15" i="17"/>
  <c r="N15" i="17"/>
  <c r="O15" i="17"/>
  <c r="L16" i="17"/>
  <c r="M16" i="17"/>
  <c r="N16" i="17"/>
  <c r="O16" i="17"/>
  <c r="L17" i="17"/>
  <c r="M17" i="17"/>
  <c r="N17" i="17"/>
  <c r="O17" i="17"/>
  <c r="L18" i="17"/>
  <c r="M18" i="17"/>
  <c r="N18" i="17"/>
  <c r="O18" i="17"/>
  <c r="L19" i="17"/>
  <c r="M19" i="17"/>
  <c r="N19" i="17"/>
  <c r="O19" i="17"/>
  <c r="L20" i="17"/>
  <c r="M20" i="17"/>
  <c r="N20" i="17"/>
  <c r="O20" i="17"/>
  <c r="L21" i="17"/>
  <c r="M21" i="17"/>
  <c r="N21" i="17"/>
  <c r="O21" i="17"/>
  <c r="L22" i="17"/>
  <c r="M22" i="17"/>
  <c r="N22" i="17"/>
  <c r="O22" i="17"/>
  <c r="L23" i="17"/>
  <c r="M23" i="17"/>
  <c r="N23" i="17"/>
  <c r="O23" i="17"/>
  <c r="M9" i="17"/>
  <c r="N9" i="17"/>
  <c r="O9" i="17"/>
  <c r="L9" i="17"/>
  <c r="M9" i="14"/>
  <c r="M8" i="14"/>
  <c r="M7" i="14"/>
  <c r="M6" i="14"/>
  <c r="L6" i="14"/>
  <c r="L7" i="14"/>
  <c r="L8" i="14"/>
  <c r="L9" i="14"/>
  <c r="C10" i="14"/>
  <c r="C9" i="14" l="1"/>
  <c r="B9" i="20"/>
  <c r="AV10" i="19" l="1"/>
  <c r="AV11" i="19"/>
  <c r="AV12" i="19"/>
  <c r="AV9" i="19"/>
  <c r="D10" i="17" l="1"/>
  <c r="D11" i="17"/>
  <c r="D12" i="17"/>
  <c r="B10" i="17"/>
  <c r="B11" i="17"/>
  <c r="B12" i="17"/>
  <c r="B13" i="17"/>
  <c r="B14" i="17"/>
  <c r="B15" i="17"/>
  <c r="B16" i="17"/>
  <c r="B17" i="17"/>
  <c r="B18" i="17"/>
  <c r="B19" i="17"/>
  <c r="B20" i="17"/>
  <c r="B21" i="17"/>
  <c r="B22" i="17"/>
  <c r="B23" i="17"/>
  <c r="C10" i="17"/>
  <c r="C11" i="17"/>
  <c r="C12" i="17"/>
  <c r="D9" i="17"/>
  <c r="C9" i="17"/>
  <c r="B9" i="17"/>
  <c r="R15" i="6"/>
  <c r="U15" i="6" s="1"/>
  <c r="R14" i="6"/>
  <c r="U14" i="6" s="1"/>
  <c r="R9" i="6"/>
  <c r="U9" i="6" s="1"/>
  <c r="R7" i="6"/>
  <c r="V7" i="6" s="1"/>
  <c r="S7" i="6" l="1"/>
  <c r="S9" i="6"/>
  <c r="V15" i="6"/>
  <c r="S15" i="6"/>
  <c r="T15" i="6"/>
  <c r="S14" i="6"/>
  <c r="T14" i="6"/>
  <c r="V14" i="6"/>
  <c r="V9" i="6"/>
  <c r="T7" i="6"/>
  <c r="U7" i="6"/>
  <c r="T9" i="6"/>
  <c r="AA18" i="6" l="1"/>
  <c r="AB18" i="6" s="1"/>
  <c r="AC18" i="6" s="1"/>
  <c r="AA10" i="6"/>
  <c r="AA15" i="6"/>
  <c r="AB15" i="6" s="1"/>
  <c r="AC15" i="6" s="1"/>
  <c r="AA12" i="6"/>
  <c r="AB12" i="6" s="1"/>
  <c r="AC12" i="6" s="1"/>
  <c r="AA14" i="6"/>
  <c r="AB14" i="6" s="1"/>
  <c r="AC14" i="6" s="1"/>
  <c r="AA16" i="6"/>
  <c r="AB16" i="6" s="1"/>
  <c r="AC16" i="6" s="1"/>
  <c r="AA9" i="6"/>
  <c r="AA8" i="6"/>
  <c r="AA13" i="6"/>
  <c r="O89" i="23"/>
  <c r="G89" i="23"/>
  <c r="E89" i="23"/>
  <c r="O88" i="23"/>
  <c r="G88" i="23"/>
  <c r="E88" i="23"/>
  <c r="O87" i="23"/>
  <c r="G87" i="23"/>
  <c r="E87" i="23"/>
  <c r="O86" i="23"/>
  <c r="G86" i="23"/>
  <c r="E86" i="23"/>
  <c r="O85" i="23"/>
  <c r="G85" i="23"/>
  <c r="E85" i="23"/>
  <c r="O84" i="23"/>
  <c r="G84" i="23"/>
  <c r="E84" i="23"/>
  <c r="O83" i="23"/>
  <c r="G83" i="23"/>
  <c r="E83" i="23"/>
  <c r="O82" i="23"/>
  <c r="G82" i="23"/>
  <c r="E82" i="23"/>
  <c r="O81" i="23"/>
  <c r="G81" i="23"/>
  <c r="E81" i="23"/>
  <c r="O80" i="23"/>
  <c r="G80" i="23"/>
  <c r="E80" i="23"/>
  <c r="O79" i="23"/>
  <c r="G79" i="23"/>
  <c r="E79" i="23"/>
  <c r="O78" i="23"/>
  <c r="G78" i="23"/>
  <c r="E78" i="23"/>
  <c r="O77" i="23"/>
  <c r="G77" i="23"/>
  <c r="E77" i="23"/>
  <c r="O76" i="23"/>
  <c r="G76" i="23"/>
  <c r="E76" i="23"/>
  <c r="O75" i="23"/>
  <c r="G75" i="23"/>
  <c r="E75" i="23"/>
  <c r="O74" i="23"/>
  <c r="G74" i="23"/>
  <c r="E74" i="23"/>
  <c r="O73" i="23"/>
  <c r="G73" i="23"/>
  <c r="E73" i="23"/>
  <c r="O72" i="23"/>
  <c r="G72" i="23"/>
  <c r="E72" i="23"/>
  <c r="O71" i="23"/>
  <c r="G71" i="23"/>
  <c r="E71" i="23"/>
  <c r="O70" i="23"/>
  <c r="G70" i="23"/>
  <c r="E70" i="23"/>
  <c r="O69" i="23"/>
  <c r="E69" i="23"/>
  <c r="O68" i="23"/>
  <c r="E68" i="23"/>
  <c r="O67" i="23"/>
  <c r="E67" i="23"/>
  <c r="O66" i="23"/>
  <c r="E66" i="23"/>
  <c r="O65" i="23"/>
  <c r="G65" i="23"/>
  <c r="E65" i="23"/>
  <c r="O64" i="23"/>
  <c r="G64" i="23"/>
  <c r="E64" i="23"/>
  <c r="O63" i="23"/>
  <c r="G63" i="23"/>
  <c r="E63" i="23"/>
  <c r="O62" i="23"/>
  <c r="G62" i="23"/>
  <c r="E62" i="23"/>
  <c r="O61" i="23"/>
  <c r="G61" i="23"/>
  <c r="E61" i="23"/>
  <c r="O60" i="23"/>
  <c r="G60" i="23"/>
  <c r="E60" i="23"/>
  <c r="O59" i="23"/>
  <c r="G59" i="23"/>
  <c r="E59" i="23"/>
  <c r="O58" i="23"/>
  <c r="G58" i="23"/>
  <c r="E58" i="23"/>
  <c r="O57" i="23"/>
  <c r="G57" i="23"/>
  <c r="E57" i="23"/>
  <c r="O56" i="23"/>
  <c r="G56" i="23"/>
  <c r="E56" i="23"/>
  <c r="O55" i="23"/>
  <c r="G55" i="23"/>
  <c r="E55" i="23"/>
  <c r="W54" i="23"/>
  <c r="X54" i="23" s="1"/>
  <c r="O54" i="23"/>
  <c r="G54" i="23"/>
  <c r="E54" i="23"/>
  <c r="O53" i="23"/>
  <c r="G53" i="23"/>
  <c r="E53" i="23"/>
  <c r="O52" i="23"/>
  <c r="G52" i="23"/>
  <c r="E52" i="23"/>
  <c r="O51" i="23"/>
  <c r="G51" i="23"/>
  <c r="E51" i="23"/>
  <c r="O50" i="23"/>
  <c r="G50" i="23"/>
  <c r="E50" i="23"/>
  <c r="O49" i="23"/>
  <c r="G49" i="23"/>
  <c r="E49" i="23"/>
  <c r="O48" i="23"/>
  <c r="G48" i="23"/>
  <c r="E48" i="23"/>
  <c r="O47" i="23"/>
  <c r="G47" i="23"/>
  <c r="E47" i="23"/>
  <c r="O46" i="23"/>
  <c r="G46" i="23"/>
  <c r="E46" i="23"/>
  <c r="O45" i="23"/>
  <c r="G45" i="23"/>
  <c r="E45" i="23"/>
  <c r="O44" i="23"/>
  <c r="G44" i="23"/>
  <c r="E44" i="23"/>
  <c r="O43" i="23"/>
  <c r="G43" i="23"/>
  <c r="E43" i="23"/>
  <c r="O42" i="23"/>
  <c r="G42" i="23"/>
  <c r="E42" i="23"/>
  <c r="O41" i="23"/>
  <c r="G41" i="23"/>
  <c r="E41" i="23"/>
  <c r="O40" i="23"/>
  <c r="G40" i="23"/>
  <c r="E40" i="23"/>
  <c r="O39" i="23"/>
  <c r="G39" i="23"/>
  <c r="E39" i="23"/>
  <c r="O38" i="23"/>
  <c r="G38" i="23"/>
  <c r="E38" i="23"/>
  <c r="O37" i="23"/>
  <c r="G37" i="23"/>
  <c r="E37" i="23"/>
  <c r="O36" i="23"/>
  <c r="G36" i="23"/>
  <c r="E36" i="23"/>
  <c r="O35" i="23"/>
  <c r="G35" i="23"/>
  <c r="E35" i="23"/>
  <c r="O34" i="23"/>
  <c r="G34" i="23"/>
  <c r="E34" i="23"/>
  <c r="O33" i="23"/>
  <c r="G33" i="23"/>
  <c r="E33" i="23"/>
  <c r="O32" i="23"/>
  <c r="G32" i="23"/>
  <c r="E32" i="23"/>
  <c r="O31" i="23"/>
  <c r="G31" i="23"/>
  <c r="E31" i="23"/>
  <c r="O30" i="23"/>
  <c r="G30" i="23"/>
  <c r="E30" i="23"/>
  <c r="O29" i="23"/>
  <c r="G29" i="23"/>
  <c r="E29" i="23"/>
  <c r="O28" i="23"/>
  <c r="G28" i="23"/>
  <c r="E28" i="23"/>
  <c r="O27" i="23"/>
  <c r="G27" i="23"/>
  <c r="E27" i="23"/>
  <c r="O26" i="23"/>
  <c r="G26" i="23"/>
  <c r="E26" i="23"/>
  <c r="O25" i="23"/>
  <c r="G25" i="23"/>
  <c r="E25" i="23"/>
  <c r="O24" i="23"/>
  <c r="G24" i="23"/>
  <c r="E24" i="23"/>
  <c r="O23" i="23"/>
  <c r="G23" i="23"/>
  <c r="E23" i="23"/>
  <c r="W22" i="23"/>
  <c r="X22" i="23" s="1"/>
  <c r="O22" i="23"/>
  <c r="G22" i="23"/>
  <c r="E22" i="23"/>
  <c r="W21" i="23"/>
  <c r="X21" i="23" s="1"/>
  <c r="O21" i="23"/>
  <c r="G21" i="23"/>
  <c r="E21" i="23"/>
  <c r="W20" i="23"/>
  <c r="X20" i="23" s="1"/>
  <c r="O20" i="23"/>
  <c r="G20" i="23"/>
  <c r="E20" i="23"/>
  <c r="W19" i="23"/>
  <c r="X19" i="23" s="1"/>
  <c r="O19" i="23"/>
  <c r="G19" i="23"/>
  <c r="E19" i="23"/>
  <c r="W18" i="23"/>
  <c r="X18" i="23" s="1"/>
  <c r="O18" i="23"/>
  <c r="G18" i="23"/>
  <c r="E18" i="23"/>
  <c r="W17" i="23"/>
  <c r="X17" i="23" s="1"/>
  <c r="O17" i="23"/>
  <c r="G17" i="23"/>
  <c r="E17" i="23"/>
  <c r="W16" i="23"/>
  <c r="X16" i="23" s="1"/>
  <c r="O16" i="23"/>
  <c r="G16" i="23"/>
  <c r="E16" i="23"/>
  <c r="W15" i="23"/>
  <c r="X15" i="23" s="1"/>
  <c r="O15" i="23"/>
  <c r="G15" i="23"/>
  <c r="E15" i="23"/>
  <c r="W14" i="23"/>
  <c r="X14" i="23" s="1"/>
  <c r="O14" i="23"/>
  <c r="G14" i="23"/>
  <c r="E14" i="23"/>
  <c r="O13" i="23"/>
  <c r="G13" i="23"/>
  <c r="E13" i="23"/>
  <c r="O12" i="23"/>
  <c r="G12" i="23"/>
  <c r="E12" i="23"/>
  <c r="W11" i="23"/>
  <c r="X11" i="23" s="1"/>
  <c r="O11" i="23"/>
  <c r="G11" i="23"/>
  <c r="E11" i="23"/>
  <c r="W10" i="23"/>
  <c r="X10" i="23" s="1"/>
  <c r="O10" i="23"/>
  <c r="G10" i="23"/>
  <c r="E10" i="23"/>
  <c r="O9" i="23"/>
  <c r="G9" i="23"/>
  <c r="E9" i="23"/>
  <c r="O8" i="23"/>
  <c r="G8" i="23"/>
  <c r="E8" i="23"/>
  <c r="O7" i="23"/>
  <c r="G7" i="23"/>
  <c r="E7" i="23"/>
  <c r="W6" i="23"/>
  <c r="X6" i="23" s="1"/>
  <c r="O6" i="23"/>
  <c r="G6" i="23"/>
  <c r="E6" i="23"/>
  <c r="W5" i="23"/>
  <c r="X5" i="23" s="1"/>
  <c r="O5" i="23"/>
  <c r="G5" i="23"/>
  <c r="E5" i="23"/>
  <c r="W4" i="23"/>
  <c r="X4" i="23" s="1"/>
  <c r="O4" i="23"/>
  <c r="G4" i="23"/>
  <c r="E4" i="23"/>
  <c r="W3" i="23"/>
  <c r="X3" i="23" s="1"/>
  <c r="O3" i="23"/>
  <c r="G3" i="23"/>
  <c r="E3" i="23"/>
  <c r="W2" i="23"/>
  <c r="X2" i="23" s="1"/>
  <c r="O2" i="23"/>
  <c r="G2" i="23"/>
  <c r="E2" i="23"/>
  <c r="H6" i="20"/>
  <c r="H7" i="20"/>
  <c r="H8" i="20"/>
  <c r="H9" i="20"/>
  <c r="H10" i="20"/>
  <c r="H11" i="20"/>
  <c r="H12" i="20"/>
  <c r="H13" i="20"/>
  <c r="AJ3" i="6"/>
  <c r="P15" i="6"/>
  <c r="P14" i="6"/>
  <c r="D10" i="14" l="1"/>
  <c r="D9" i="14"/>
  <c r="AB8" i="6"/>
  <c r="AC8" i="6" s="1"/>
  <c r="AB10" i="6"/>
  <c r="AC10" i="6" s="1"/>
  <c r="AB13" i="6"/>
  <c r="AC13" i="6" s="1"/>
  <c r="AB9" i="6"/>
  <c r="AC9" i="6" s="1"/>
  <c r="E18" i="6" l="1"/>
  <c r="E14" i="6" l="1"/>
  <c r="E15" i="6"/>
  <c r="E16" i="6"/>
  <c r="E13" i="6" l="1"/>
  <c r="E12" i="6" l="1"/>
  <c r="H6" i="14" l="1"/>
  <c r="I6" i="14" s="1"/>
  <c r="H7" i="14"/>
  <c r="H8" i="14"/>
  <c r="H9" i="14"/>
  <c r="H10" i="14"/>
  <c r="H11" i="14"/>
  <c r="H12" i="14"/>
  <c r="H13" i="14"/>
  <c r="H14" i="14"/>
  <c r="H15" i="14"/>
  <c r="H16" i="14"/>
  <c r="H17" i="14"/>
  <c r="H18" i="14"/>
  <c r="H19" i="14"/>
  <c r="H20" i="14"/>
  <c r="X34" i="12"/>
  <c r="X35" i="12"/>
  <c r="X36" i="12"/>
  <c r="X37" i="12"/>
  <c r="I8" i="14" l="1"/>
  <c r="J8" i="14"/>
  <c r="I15" i="14"/>
  <c r="J15" i="14"/>
  <c r="I7" i="14"/>
  <c r="J7" i="14"/>
  <c r="I14" i="14"/>
  <c r="J14" i="14"/>
  <c r="I13" i="14"/>
  <c r="J13" i="14"/>
  <c r="I20" i="14"/>
  <c r="J20" i="14"/>
  <c r="I12" i="14"/>
  <c r="J12" i="14"/>
  <c r="I19" i="14"/>
  <c r="J19" i="14"/>
  <c r="I11" i="14"/>
  <c r="J11" i="14"/>
  <c r="I18" i="14"/>
  <c r="J18" i="14"/>
  <c r="I10" i="14"/>
  <c r="J10" i="14"/>
  <c r="I17" i="14"/>
  <c r="J17" i="14"/>
  <c r="I9" i="14"/>
  <c r="J9" i="14"/>
  <c r="I16" i="14"/>
  <c r="J16" i="14"/>
  <c r="E10" i="6"/>
  <c r="E9" i="6"/>
  <c r="E7" i="6" l="1"/>
  <c r="C45" i="19" s="1"/>
  <c r="C35" i="19" l="1"/>
  <c r="C18" i="19"/>
  <c r="C31" i="19"/>
  <c r="C33" i="19"/>
  <c r="C15" i="19"/>
  <c r="C30" i="19"/>
  <c r="C27" i="19"/>
  <c r="C42" i="19"/>
  <c r="C24" i="19"/>
  <c r="C41" i="19"/>
  <c r="C38" i="19"/>
  <c r="C21" i="19"/>
  <c r="C12" i="19"/>
  <c r="K22" i="17"/>
  <c r="K14" i="17"/>
  <c r="K23" i="17"/>
  <c r="K21" i="17"/>
  <c r="K13" i="17"/>
  <c r="K20" i="17"/>
  <c r="K12" i="17"/>
  <c r="K17" i="17"/>
  <c r="K19" i="17"/>
  <c r="K11" i="17"/>
  <c r="K18" i="17"/>
  <c r="K10" i="17"/>
  <c r="K15" i="17"/>
  <c r="K16" i="17"/>
  <c r="J22" i="17"/>
  <c r="J14" i="17"/>
  <c r="I20" i="17"/>
  <c r="I12" i="17"/>
  <c r="J21" i="17"/>
  <c r="J13" i="17"/>
  <c r="I19" i="17"/>
  <c r="I11" i="17"/>
  <c r="C9" i="19"/>
  <c r="J20" i="17"/>
  <c r="J12" i="17"/>
  <c r="I18" i="17"/>
  <c r="I10" i="17"/>
  <c r="J19" i="17"/>
  <c r="J11" i="17"/>
  <c r="I17" i="17"/>
  <c r="I9" i="17"/>
  <c r="J15" i="17"/>
  <c r="I13" i="17"/>
  <c r="J18" i="17"/>
  <c r="J10" i="17"/>
  <c r="I16" i="17"/>
  <c r="J17" i="17"/>
  <c r="J9" i="17"/>
  <c r="I23" i="17"/>
  <c r="I15" i="17"/>
  <c r="I21" i="17"/>
  <c r="J16" i="17"/>
  <c r="I22" i="17"/>
  <c r="I14" i="17"/>
  <c r="J23" i="17"/>
  <c r="F13" i="17"/>
  <c r="C6" i="14" l="1"/>
  <c r="D6" i="14"/>
  <c r="M36" i="12"/>
  <c r="M35" i="12"/>
  <c r="M34" i="12"/>
  <c r="L36" i="12"/>
  <c r="L35" i="12"/>
  <c r="L34" i="12"/>
  <c r="U37" i="12"/>
  <c r="T37" i="12" s="1"/>
  <c r="U36" i="12"/>
  <c r="T36" i="12" s="1"/>
  <c r="U35" i="12"/>
  <c r="T35" i="12" s="1"/>
  <c r="U34" i="12"/>
  <c r="T34" i="12" s="1"/>
  <c r="R37" i="12"/>
  <c r="Q37" i="12" s="1"/>
  <c r="R36" i="12"/>
  <c r="Q36" i="12" s="1"/>
  <c r="R35" i="12"/>
  <c r="Q35" i="12" s="1"/>
  <c r="R34" i="12"/>
  <c r="Q34" i="12" s="1"/>
  <c r="J37" i="12"/>
  <c r="J36" i="12"/>
  <c r="J35" i="12"/>
  <c r="J34" i="12"/>
  <c r="I34" i="12" s="1"/>
  <c r="U4" i="12"/>
  <c r="T4" i="12" s="1"/>
  <c r="U3" i="12"/>
  <c r="T3" i="12" s="1"/>
  <c r="U2" i="12"/>
  <c r="T2" i="12" s="1"/>
  <c r="U1" i="12"/>
  <c r="T1" i="12" s="1"/>
  <c r="R4" i="12"/>
  <c r="Q4" i="12" s="1"/>
  <c r="R3" i="12"/>
  <c r="Q3" i="12" s="1"/>
  <c r="R2" i="12"/>
  <c r="Q2" i="12" s="1"/>
  <c r="R1" i="12"/>
  <c r="Q1" i="12" s="1"/>
  <c r="J4" i="12"/>
  <c r="I4" i="12" s="1"/>
  <c r="J3" i="12"/>
  <c r="I3" i="12" s="1"/>
  <c r="J2" i="12"/>
  <c r="I2" i="12" s="1"/>
  <c r="J1" i="12"/>
  <c r="I1" i="12" s="1"/>
  <c r="M3" i="12"/>
  <c r="M2" i="12"/>
  <c r="M1" i="12"/>
  <c r="L3" i="12"/>
  <c r="L2" i="12"/>
  <c r="L1" i="12"/>
  <c r="T9" i="19" l="1"/>
  <c r="T10" i="19"/>
  <c r="T11" i="19"/>
  <c r="T12" i="19"/>
  <c r="T13" i="19"/>
  <c r="T14" i="19"/>
  <c r="T15" i="19"/>
  <c r="T16" i="19"/>
  <c r="T17" i="19"/>
  <c r="T18" i="19"/>
  <c r="T19" i="19"/>
  <c r="T20" i="19"/>
  <c r="T21" i="19"/>
  <c r="T22" i="19"/>
  <c r="T23" i="19"/>
  <c r="T24" i="19"/>
  <c r="T25" i="19"/>
  <c r="T26" i="19"/>
  <c r="T27" i="19"/>
  <c r="T28" i="19"/>
  <c r="T29" i="19"/>
  <c r="T30" i="19"/>
  <c r="T31" i="19"/>
  <c r="T32" i="19"/>
  <c r="T33" i="19"/>
  <c r="T34" i="19"/>
  <c r="T35" i="19"/>
  <c r="T36" i="19"/>
  <c r="T37" i="19"/>
  <c r="T38" i="19"/>
  <c r="T39" i="19"/>
  <c r="T40" i="19"/>
  <c r="T41" i="19"/>
  <c r="T42" i="19"/>
  <c r="T43" i="19"/>
  <c r="T44" i="19"/>
  <c r="F19" i="17" l="1"/>
  <c r="F16" i="17"/>
  <c r="F12" i="17"/>
  <c r="F11" i="17"/>
  <c r="H7" i="6"/>
  <c r="F22" i="17"/>
  <c r="F15" i="17"/>
  <c r="F14" i="17"/>
  <c r="F17" i="17" l="1"/>
  <c r="F21" i="17"/>
  <c r="F20" i="17"/>
  <c r="F23" i="17"/>
  <c r="F9" i="17"/>
  <c r="F10" i="17"/>
  <c r="F18" i="17"/>
  <c r="I37" i="12"/>
  <c r="I36" i="12"/>
  <c r="I35" i="12"/>
  <c r="AB9" i="19" l="1"/>
  <c r="C7" i="14" l="1"/>
  <c r="D7" i="14"/>
  <c r="C8" i="14"/>
  <c r="D8" i="14"/>
  <c r="AB10" i="19" l="1"/>
  <c r="AB11" i="19"/>
  <c r="AB12" i="19"/>
  <c r="AB13" i="19"/>
  <c r="AB14" i="19"/>
  <c r="AB15" i="19"/>
  <c r="AB16" i="19"/>
  <c r="AB17" i="19"/>
  <c r="AB18" i="19"/>
  <c r="AB19" i="19"/>
  <c r="AB20" i="19"/>
  <c r="AB21" i="19"/>
  <c r="AB22" i="19"/>
  <c r="AB23" i="19"/>
  <c r="AB24" i="19"/>
  <c r="AB25" i="19"/>
  <c r="AB26" i="19"/>
  <c r="AB27" i="19"/>
  <c r="AB28" i="19"/>
  <c r="AB29" i="19"/>
  <c r="AB30" i="19"/>
  <c r="AB31" i="19"/>
  <c r="AB32" i="19"/>
  <c r="AB33" i="19"/>
  <c r="AB34" i="19"/>
  <c r="AB35" i="19"/>
  <c r="AB36" i="19"/>
  <c r="AB37" i="19"/>
  <c r="AB38" i="19"/>
  <c r="AB39" i="19"/>
  <c r="AB40" i="19"/>
  <c r="AB41" i="19"/>
  <c r="AB42" i="19"/>
  <c r="AB43" i="19"/>
  <c r="AB44" i="19"/>
  <c r="X10" i="19"/>
  <c r="X11" i="19"/>
  <c r="X12" i="19"/>
  <c r="X13" i="19"/>
  <c r="X14" i="19"/>
  <c r="X15" i="19"/>
  <c r="X16" i="19"/>
  <c r="X17" i="19"/>
  <c r="X18" i="19"/>
  <c r="X19" i="19"/>
  <c r="X20" i="19"/>
  <c r="X21" i="19"/>
  <c r="X22" i="19"/>
  <c r="X23" i="19"/>
  <c r="X24" i="19"/>
  <c r="X25" i="19"/>
  <c r="X26" i="19"/>
  <c r="X27" i="19"/>
  <c r="X28" i="19"/>
  <c r="X29" i="19"/>
  <c r="X30" i="19"/>
  <c r="X31" i="19"/>
  <c r="X32" i="19"/>
  <c r="X33" i="19"/>
  <c r="X34" i="19"/>
  <c r="X35" i="19"/>
  <c r="X36" i="19"/>
  <c r="X37" i="19"/>
  <c r="X38" i="19"/>
  <c r="X39" i="19"/>
  <c r="X40" i="19"/>
  <c r="X41" i="19"/>
  <c r="X42" i="19"/>
  <c r="X43" i="19"/>
  <c r="X44" i="19"/>
  <c r="X9" i="19"/>
  <c r="AC9" i="19" s="1"/>
  <c r="AC37" i="19" l="1"/>
  <c r="AC44" i="19"/>
  <c r="AC41" i="19"/>
  <c r="AC35" i="19"/>
  <c r="AC18" i="19"/>
  <c r="AC10" i="19"/>
  <c r="AC29" i="19"/>
  <c r="AC40" i="19"/>
  <c r="AC33" i="19"/>
  <c r="AC28" i="19"/>
  <c r="AC23" i="19"/>
  <c r="AC15" i="19"/>
  <c r="AC39" i="19"/>
  <c r="AC27" i="19"/>
  <c r="AC22" i="19"/>
  <c r="AC14" i="19"/>
  <c r="AC38" i="19"/>
  <c r="AC32" i="19"/>
  <c r="AE31" i="19" s="1"/>
  <c r="AC26" i="19"/>
  <c r="AC21" i="19"/>
  <c r="AC13" i="19"/>
  <c r="AC30" i="19"/>
  <c r="AC16" i="19"/>
  <c r="AC43" i="19"/>
  <c r="AC31" i="19"/>
  <c r="AC25" i="19"/>
  <c r="AC20" i="19"/>
  <c r="AC12" i="19"/>
  <c r="AC17" i="19"/>
  <c r="AC34" i="19"/>
  <c r="AC42" i="19"/>
  <c r="AC36" i="19"/>
  <c r="AC24" i="19"/>
  <c r="AC19" i="19"/>
  <c r="AC11" i="19"/>
  <c r="AD35" i="19" l="1"/>
  <c r="AE35" i="19" s="1"/>
  <c r="AD9" i="19"/>
  <c r="AE9" i="19" s="1"/>
  <c r="H9" i="17" s="1"/>
  <c r="AE41" i="19"/>
  <c r="AE42" i="19"/>
  <c r="AD21" i="19"/>
  <c r="AE21" i="19" s="1"/>
  <c r="H13" i="17" s="1"/>
  <c r="AD18" i="19"/>
  <c r="AE18" i="19" s="1"/>
  <c r="H12" i="17" s="1"/>
  <c r="AD38" i="19"/>
  <c r="AE38" i="19" s="1"/>
  <c r="AD27" i="19"/>
  <c r="AE27" i="19" s="1"/>
  <c r="H16" i="17" s="1"/>
  <c r="AE33" i="19"/>
  <c r="AD15" i="19"/>
  <c r="AE15" i="19" s="1"/>
  <c r="H11" i="17" s="1"/>
  <c r="AD12" i="19"/>
  <c r="AE12" i="19" s="1"/>
  <c r="H10" i="17" s="1"/>
  <c r="AD24" i="19"/>
  <c r="AE24" i="19" s="1"/>
  <c r="H14" i="17" s="1"/>
  <c r="H19" i="17" l="1"/>
  <c r="S19" i="17" s="1"/>
  <c r="H22" i="17"/>
  <c r="P22" i="17" s="1"/>
  <c r="H21" i="17"/>
  <c r="R21" i="17" s="1"/>
  <c r="H23" i="17"/>
  <c r="Q23" i="17" s="1"/>
  <c r="H17" i="17"/>
  <c r="Q17" i="17" s="1"/>
  <c r="H20" i="17"/>
  <c r="S20" i="17" s="1"/>
  <c r="H18" i="17"/>
  <c r="S18" i="17" s="1"/>
  <c r="H15" i="17"/>
  <c r="S15" i="17" s="1"/>
  <c r="P12" i="17"/>
  <c r="Q12" i="17"/>
  <c r="R12" i="17"/>
  <c r="S12" i="17"/>
  <c r="P16" i="17"/>
  <c r="Q16" i="17"/>
  <c r="R16" i="17"/>
  <c r="S16" i="17"/>
  <c r="P10" i="17"/>
  <c r="Q10" i="17"/>
  <c r="R10" i="17"/>
  <c r="S10" i="17"/>
  <c r="P11" i="17"/>
  <c r="R11" i="17"/>
  <c r="Q11" i="17"/>
  <c r="S11" i="17"/>
  <c r="T9" i="17"/>
  <c r="R9" i="17"/>
  <c r="Q9" i="17"/>
  <c r="S9" i="17"/>
  <c r="P9" i="17"/>
  <c r="P14" i="17"/>
  <c r="Q14" i="17"/>
  <c r="R14" i="17"/>
  <c r="S14" i="17"/>
  <c r="Q13" i="17"/>
  <c r="P13" i="17"/>
  <c r="R13" i="17"/>
  <c r="S13" i="17"/>
  <c r="T16" i="17"/>
  <c r="T12" i="17"/>
  <c r="T10" i="17"/>
  <c r="T11" i="17"/>
  <c r="T14" i="17"/>
  <c r="T13" i="17"/>
  <c r="B6" i="20"/>
  <c r="Q19" i="17" l="1"/>
  <c r="P19" i="17"/>
  <c r="R19" i="17"/>
  <c r="T19" i="17"/>
  <c r="T22" i="17"/>
  <c r="S22" i="17"/>
  <c r="R22" i="17"/>
  <c r="Q22" i="17"/>
  <c r="R23" i="17"/>
  <c r="S23" i="17"/>
  <c r="R18" i="17"/>
  <c r="T23" i="17"/>
  <c r="P18" i="17"/>
  <c r="P21" i="17"/>
  <c r="T21" i="17"/>
  <c r="Q21" i="17"/>
  <c r="P17" i="17"/>
  <c r="R17" i="17"/>
  <c r="S21" i="17"/>
  <c r="P23" i="17"/>
  <c r="T18" i="17"/>
  <c r="Q18" i="17"/>
  <c r="S17" i="17"/>
  <c r="R20" i="17"/>
  <c r="Q15" i="17"/>
  <c r="R15" i="17"/>
  <c r="T17" i="17"/>
  <c r="I12" i="20"/>
  <c r="P15" i="17"/>
  <c r="T15" i="17"/>
  <c r="Q20" i="17"/>
  <c r="P20" i="17"/>
  <c r="T20" i="17"/>
  <c r="I9" i="20"/>
  <c r="I13" i="20"/>
  <c r="I11" i="20"/>
  <c r="I6" i="20"/>
  <c r="I10" i="20"/>
  <c r="I8" i="20"/>
  <c r="E7" i="14"/>
  <c r="F7" i="14" s="1"/>
  <c r="E8" i="14"/>
  <c r="F8" i="14" s="1"/>
  <c r="I7" i="20" l="1"/>
  <c r="M6" i="20"/>
  <c r="M9" i="20"/>
  <c r="M8" i="20"/>
  <c r="M7" i="20"/>
  <c r="U14" i="17"/>
  <c r="U15" i="17"/>
  <c r="U16" i="17"/>
  <c r="U17" i="17"/>
  <c r="U18" i="17"/>
  <c r="U19" i="17"/>
  <c r="U20" i="17"/>
  <c r="U21" i="17"/>
  <c r="U22" i="17"/>
  <c r="U23" i="17"/>
  <c r="U12" i="17"/>
  <c r="U13" i="17"/>
  <c r="U10" i="17"/>
  <c r="U11" i="17"/>
  <c r="J12" i="20" l="1"/>
  <c r="J9" i="20"/>
  <c r="J10" i="20"/>
  <c r="J8" i="20"/>
  <c r="J11" i="20"/>
  <c r="G10" i="17" l="1"/>
  <c r="G11" i="17"/>
  <c r="G12" i="17"/>
  <c r="G13" i="17"/>
  <c r="G14" i="17"/>
  <c r="G15" i="17"/>
  <c r="G16" i="17"/>
  <c r="G17" i="17"/>
  <c r="G18" i="17"/>
  <c r="G19" i="17"/>
  <c r="G20" i="17"/>
  <c r="G21" i="17"/>
  <c r="G22" i="17"/>
  <c r="G23" i="17"/>
  <c r="G9" i="17"/>
  <c r="C9" i="20" l="1"/>
  <c r="J10" i="15" l="1"/>
  <c r="J9" i="15"/>
  <c r="J8" i="15"/>
  <c r="J7" i="15"/>
  <c r="B10" i="20" l="1"/>
  <c r="C10" i="20" s="1"/>
  <c r="B8" i="20"/>
  <c r="B7" i="20"/>
  <c r="C7" i="20" s="1"/>
  <c r="E10" i="14" l="1"/>
  <c r="F10" i="14" s="1"/>
  <c r="E9" i="14"/>
  <c r="F9" i="14" s="1"/>
  <c r="V22" i="17" l="1"/>
  <c r="W22" i="17" s="1"/>
  <c r="X22" i="17" s="1"/>
  <c r="V23" i="17"/>
  <c r="W23" i="17" s="1"/>
  <c r="X23" i="17" s="1"/>
  <c r="V15" i="17"/>
  <c r="V20" i="17"/>
  <c r="V13" i="17"/>
  <c r="V21" i="17"/>
  <c r="V19" i="17"/>
  <c r="V14" i="17" l="1"/>
  <c r="V18" i="17"/>
  <c r="W18" i="17" s="1"/>
  <c r="X18" i="17" s="1"/>
  <c r="V11" i="17"/>
  <c r="V16" i="17"/>
  <c r="V17" i="17"/>
  <c r="W17" i="17" s="1"/>
  <c r="X17" i="17" s="1"/>
  <c r="V10" i="17"/>
  <c r="W21" i="17"/>
  <c r="X21" i="17" s="1"/>
  <c r="W15" i="17"/>
  <c r="X15" i="17" s="1"/>
  <c r="W19" i="17"/>
  <c r="X19" i="17" s="1"/>
  <c r="W13" i="17"/>
  <c r="X13" i="17" s="1"/>
  <c r="W20" i="17"/>
  <c r="X20" i="17" s="1"/>
  <c r="D9" i="20" l="1"/>
  <c r="E9" i="20" s="1"/>
  <c r="F9" i="20" s="1"/>
  <c r="W16" i="17"/>
  <c r="X16" i="17" s="1"/>
  <c r="D10" i="20"/>
  <c r="E10" i="20" s="1"/>
  <c r="F10" i="20" s="1"/>
  <c r="W11" i="17"/>
  <c r="X11" i="17" s="1"/>
  <c r="W14" i="17"/>
  <c r="X14" i="17" s="1"/>
  <c r="W10" i="17"/>
  <c r="X10" i="17" s="1"/>
  <c r="V12" i="17"/>
  <c r="D7" i="20" l="1"/>
  <c r="E7" i="20" s="1"/>
  <c r="W12" i="17"/>
  <c r="X12" i="17" s="1"/>
  <c r="AA18" i="17" l="1"/>
  <c r="Z18" i="17"/>
  <c r="E6" i="14" l="1"/>
  <c r="F6" i="14" s="1"/>
  <c r="AD3" i="17" l="1"/>
  <c r="F7" i="20"/>
  <c r="AA7" i="6"/>
  <c r="K9" i="17" s="1"/>
  <c r="U9" i="17" l="1"/>
  <c r="J6" i="14"/>
  <c r="AK3" i="6"/>
  <c r="AB7" i="6"/>
  <c r="AC7" i="6" s="1"/>
  <c r="J7" i="20" l="1"/>
  <c r="C8" i="20"/>
  <c r="J13" i="20"/>
  <c r="AE3" i="17"/>
  <c r="C6" i="20"/>
  <c r="J6" i="20"/>
  <c r="V9" i="17"/>
  <c r="X9" i="17" s="1"/>
  <c r="D8" i="20" l="1"/>
  <c r="F8" i="20" s="1"/>
  <c r="D6" i="20"/>
  <c r="F6" i="20" s="1"/>
</calcChain>
</file>

<file path=xl/sharedStrings.xml><?xml version="1.0" encoding="utf-8"?>
<sst xmlns="http://schemas.openxmlformats.org/spreadsheetml/2006/main" count="2204" uniqueCount="637">
  <si>
    <t>CAUSA</t>
  </si>
  <si>
    <t>SCORE</t>
  </si>
  <si>
    <t>BAJO</t>
  </si>
  <si>
    <t>MEDIO</t>
  </si>
  <si>
    <t>ALTO</t>
  </si>
  <si>
    <t>EXTREMO</t>
  </si>
  <si>
    <t>MEDIDA A TOMAR</t>
  </si>
  <si>
    <t>FACTOR DE RIESGO</t>
  </si>
  <si>
    <t>Tratar</t>
  </si>
  <si>
    <t>Jurisdicciones</t>
  </si>
  <si>
    <t>Productos</t>
  </si>
  <si>
    <t>Canales de Distribución</t>
  </si>
  <si>
    <t>PROCESOS</t>
  </si>
  <si>
    <t>CODIGO PROCESO</t>
  </si>
  <si>
    <t>FACTORES</t>
  </si>
  <si>
    <t>LAFT1</t>
  </si>
  <si>
    <t>LAFT2</t>
  </si>
  <si>
    <t>LAFT3</t>
  </si>
  <si>
    <t>LAFT4</t>
  </si>
  <si>
    <t>LAFT5</t>
  </si>
  <si>
    <t>LAFT6</t>
  </si>
  <si>
    <t>PROBABILIDAD</t>
  </si>
  <si>
    <t>Clientes / Usuarios / Contrapartes</t>
  </si>
  <si>
    <t>CONSECUENCIAS</t>
  </si>
  <si>
    <t>Pérdidas económicas</t>
  </si>
  <si>
    <t>Sanciones legales</t>
  </si>
  <si>
    <t>Pérdida de reputación</t>
  </si>
  <si>
    <t>Pérdida de mercado</t>
  </si>
  <si>
    <t>Pérdida de clientes</t>
  </si>
  <si>
    <t>Pérdida de certificaciones</t>
  </si>
  <si>
    <t>Mayor exposición de la compañía al LAFT</t>
  </si>
  <si>
    <t>Deterioro de los controles operativos</t>
  </si>
  <si>
    <t>ESTADOS</t>
  </si>
  <si>
    <t>No iniciada</t>
  </si>
  <si>
    <t>En curso</t>
  </si>
  <si>
    <t>Terminada</t>
  </si>
  <si>
    <t>Cancelada</t>
  </si>
  <si>
    <t>Evaluada</t>
  </si>
  <si>
    <t>VALORACION DEL RIESGO</t>
  </si>
  <si>
    <t>EVALUACION DEL RIESGO</t>
  </si>
  <si>
    <t>IDENTIFICACION DEL RIESGO</t>
  </si>
  <si>
    <t>ANALISIS DEL RIESGO</t>
  </si>
  <si>
    <t>TRATAMIENTO DEL RIESGO</t>
  </si>
  <si>
    <t>NIVEL DEL RIESGO (RIESGO INHERENTE)</t>
  </si>
  <si>
    <t>RL</t>
  </si>
  <si>
    <t>RO</t>
  </si>
  <si>
    <t>RR</t>
  </si>
  <si>
    <t>RC</t>
  </si>
  <si>
    <t>SUBPROCESO</t>
  </si>
  <si>
    <t>CODIGO SUBPROCESO</t>
  </si>
  <si>
    <t>Administración</t>
  </si>
  <si>
    <t>Cobros</t>
  </si>
  <si>
    <t>Contabilidad</t>
  </si>
  <si>
    <t>Créditos</t>
  </si>
  <si>
    <t>Mercadeo</t>
  </si>
  <si>
    <t>Seguros</t>
  </si>
  <si>
    <t>Gestión de Compras</t>
  </si>
  <si>
    <t>Control de seguridad en las instalaciones</t>
  </si>
  <si>
    <t>Política de cobros</t>
  </si>
  <si>
    <t>Cobranza</t>
  </si>
  <si>
    <t>Cobro jurídico y prejurídico</t>
  </si>
  <si>
    <t>Nuevos arreglos y refinanciación</t>
  </si>
  <si>
    <t>Recuperación, custodia y venta de vehículos</t>
  </si>
  <si>
    <t>Archivo y control de documentos contables</t>
  </si>
  <si>
    <t>Revisión y control de cortes de caja</t>
  </si>
  <si>
    <t>Caja menor</t>
  </si>
  <si>
    <t>Pago a proveedores y elaboración de transferencias</t>
  </si>
  <si>
    <t>Cumplimiento de obligaciones tributarias</t>
  </si>
  <si>
    <t>Archivo y custodia de información documentada del negocio</t>
  </si>
  <si>
    <t>Escaneo de documentación de negocios</t>
  </si>
  <si>
    <t>Política de créditos</t>
  </si>
  <si>
    <t>Documentación de negocios</t>
  </si>
  <si>
    <t>Formalización del crédito</t>
  </si>
  <si>
    <t>Verificación y análisis de referencias</t>
  </si>
  <si>
    <t>Manejo de PQR</t>
  </si>
  <si>
    <t>Administración de seguros cobros</t>
  </si>
  <si>
    <t>Administración de seguros comercial</t>
  </si>
  <si>
    <t>LAFT 4</t>
  </si>
  <si>
    <t>LAFT 3</t>
  </si>
  <si>
    <t>Política de Gestión de compras</t>
  </si>
  <si>
    <t>Registro de facturas radicadas y pasivos estimados</t>
  </si>
  <si>
    <t>No RIESGO</t>
  </si>
  <si>
    <t>Recepción y contabilización de negocios a desembolsar</t>
  </si>
  <si>
    <t>Prácticas LAFT</t>
  </si>
  <si>
    <t>LAFT7</t>
  </si>
  <si>
    <t>VALORACION CONSECUENCIA</t>
  </si>
  <si>
    <t>CONSECUENCIA</t>
  </si>
  <si>
    <t>VALORACION</t>
  </si>
  <si>
    <t>NIVEL DE RIESGO</t>
  </si>
  <si>
    <t>LAFT8</t>
  </si>
  <si>
    <t>LAFT9</t>
  </si>
  <si>
    <t>LAFT10</t>
  </si>
  <si>
    <t>Prevenir/Tratar/Evitar</t>
  </si>
  <si>
    <t>Prevenir/Tratar</t>
  </si>
  <si>
    <t>Probabilidad</t>
  </si>
  <si>
    <t>Promedio</t>
  </si>
  <si>
    <t>Valoración</t>
  </si>
  <si>
    <t>Moderado</t>
  </si>
  <si>
    <t>Menor</t>
  </si>
  <si>
    <t>Catastrófico</t>
  </si>
  <si>
    <t>INCIDENCIA DEL TOTAL DE CONTROLES SOBRE EL RIESGO</t>
  </si>
  <si>
    <t>PROBABILIDAD RESIDUAL</t>
  </si>
  <si>
    <t>RIESGO RESIDUAL</t>
  </si>
  <si>
    <t>MEDIDAS</t>
  </si>
  <si>
    <t>CALIFICACION DEL CONTROL</t>
  </si>
  <si>
    <t>CALIFICACIÓN CALIDAD DEL CONTROL</t>
  </si>
  <si>
    <t>ACCIONES DE EJECUCION</t>
  </si>
  <si>
    <t>FORMALIDAD</t>
  </si>
  <si>
    <t>TOTAL FORMALIDAD</t>
  </si>
  <si>
    <t>APLICACIÓN</t>
  </si>
  <si>
    <t>TOTAL APLICACIÓN</t>
  </si>
  <si>
    <t xml:space="preserve"> EFECTIVIDAD</t>
  </si>
  <si>
    <t>TOTAL EFECTIVIDAD</t>
  </si>
  <si>
    <t>OBJETIVO DEL CONTROL</t>
  </si>
  <si>
    <t xml:space="preserve">CLASE DE CONTROL </t>
  </si>
  <si>
    <t>PERIODICIDAD</t>
  </si>
  <si>
    <t>FORMA DE APLICACIÓN</t>
  </si>
  <si>
    <t>RESPONSABLE DE APROBACION</t>
  </si>
  <si>
    <t>RESPONSABLE DE IMPLEMENTACION</t>
  </si>
  <si>
    <t xml:space="preserve">RESPONSABLE DE MONITOREO </t>
  </si>
  <si>
    <t>DESCRIPCION DE ACCIONES</t>
  </si>
  <si>
    <t>NO ESTA DOCUMENTADO</t>
  </si>
  <si>
    <t>DOCUMENTADO</t>
  </si>
  <si>
    <t>APROBADO</t>
  </si>
  <si>
    <t>DIVULGADO</t>
  </si>
  <si>
    <t>NUNCA</t>
  </si>
  <si>
    <t xml:space="preserve">A DISCRESION </t>
  </si>
  <si>
    <t>SIEMPRE</t>
  </si>
  <si>
    <t>COMPROBADA EFECTIVIDAD</t>
  </si>
  <si>
    <t>COMPROBADA NO EFECTIVIDAD</t>
  </si>
  <si>
    <t>EVALUACIÓN 
(Según score de calificación)</t>
  </si>
  <si>
    <t>CRITICA</t>
  </si>
  <si>
    <t>MAYOR 91</t>
  </si>
  <si>
    <t>EXCELENTE</t>
  </si>
  <si>
    <t xml:space="preserve"> 61 A 90</t>
  </si>
  <si>
    <t>BUENA</t>
  </si>
  <si>
    <t xml:space="preserve"> 20 A 60</t>
  </si>
  <si>
    <t>BAJA</t>
  </si>
  <si>
    <t xml:space="preserve"> 0 A 19</t>
  </si>
  <si>
    <t>Manual</t>
  </si>
  <si>
    <t>Diario</t>
  </si>
  <si>
    <t>Automático</t>
  </si>
  <si>
    <t>Semanal</t>
  </si>
  <si>
    <t>Combinado</t>
  </si>
  <si>
    <t>Mensual</t>
  </si>
  <si>
    <t>Semestral</t>
  </si>
  <si>
    <t>Anual</t>
  </si>
  <si>
    <t>Cada vez q se requiera</t>
  </si>
  <si>
    <t>P</t>
  </si>
  <si>
    <t>C</t>
  </si>
  <si>
    <t>RESPONSABLE DE REPORTE</t>
  </si>
  <si>
    <t>CONCLUSIÓN EFECTIVIDAD</t>
  </si>
  <si>
    <t>ESTADO DE ACCIONES</t>
  </si>
  <si>
    <t>VALORACIÓN DEL CONTROL</t>
  </si>
  <si>
    <t>SCORE DE CALIFICACIÓN POR CONTROL</t>
  </si>
  <si>
    <t>SCORE DE CALIFICACIÓN POR RIESGO</t>
  </si>
  <si>
    <t>No.</t>
  </si>
  <si>
    <t>N0</t>
  </si>
  <si>
    <t>CONTROL(ES)</t>
  </si>
  <si>
    <t>Factor de Riesgo</t>
  </si>
  <si>
    <t>PROBA INHE</t>
  </si>
  <si>
    <t>VALORA CONSE INHER</t>
  </si>
  <si>
    <t>VALORACIÓN CONSECUENCIA RESIDUAL</t>
  </si>
  <si>
    <t>Trimestral</t>
  </si>
  <si>
    <t>Continuo</t>
  </si>
  <si>
    <t>EFECTO MITIGACIÓN 
(Sobre valoración de riesgo inherente)</t>
  </si>
  <si>
    <t>RANGO DE CALIFICACIÓN
(Calidad del Control)</t>
  </si>
  <si>
    <t>SCORE DE CALIFICACIÓN
(Calidad del Control)</t>
  </si>
  <si>
    <t>CODIGO RIESGO</t>
  </si>
  <si>
    <t>FAC1</t>
  </si>
  <si>
    <t>FAC2</t>
  </si>
  <si>
    <t>FAC3</t>
  </si>
  <si>
    <t>FAC4</t>
  </si>
  <si>
    <t>LAFT11</t>
  </si>
  <si>
    <t>LAFT12</t>
  </si>
  <si>
    <t>LAFT13</t>
  </si>
  <si>
    <t>LAFT14</t>
  </si>
  <si>
    <t>LAFT15</t>
  </si>
  <si>
    <t>FAC5</t>
  </si>
  <si>
    <t>FAC6</t>
  </si>
  <si>
    <t>0 - 19</t>
  </si>
  <si>
    <t>Valoración Score</t>
  </si>
  <si>
    <t>Cod Proceso</t>
  </si>
  <si>
    <t>Cod Riesgo</t>
  </si>
  <si>
    <t>Riesgo Reputacional</t>
  </si>
  <si>
    <t>Riesgo Operativo</t>
  </si>
  <si>
    <t>Riesgo Legal</t>
  </si>
  <si>
    <t>Riesgo de Contagio</t>
  </si>
  <si>
    <t>CPI</t>
  </si>
  <si>
    <t>J</t>
  </si>
  <si>
    <t>RIESGO INHERENTE</t>
  </si>
  <si>
    <t>Val Conse Resid</t>
  </si>
  <si>
    <t>RIESGO DESCRIPCION</t>
  </si>
  <si>
    <t>Valoración de la Consecuencia</t>
  </si>
  <si>
    <t>Prob Conse Resid</t>
  </si>
  <si>
    <t>RI:</t>
  </si>
  <si>
    <t>Riesgo Inherente</t>
  </si>
  <si>
    <t>Riesgo Residual</t>
  </si>
  <si>
    <t>RR:</t>
  </si>
  <si>
    <t>Recursos Humanos</t>
  </si>
  <si>
    <t>X</t>
  </si>
  <si>
    <t>1234</t>
  </si>
  <si>
    <t>1204</t>
  </si>
  <si>
    <t>1034</t>
  </si>
  <si>
    <t>1230</t>
  </si>
  <si>
    <t>0234</t>
  </si>
  <si>
    <t>0204</t>
  </si>
  <si>
    <t>0004</t>
  </si>
  <si>
    <t>0000</t>
  </si>
  <si>
    <t>Incluir riesgo inherente</t>
  </si>
  <si>
    <t>0230</t>
  </si>
  <si>
    <t>COD</t>
  </si>
  <si>
    <t>20 - 60</t>
  </si>
  <si>
    <t>61 - 90</t>
  </si>
  <si>
    <t>&gt; 91</t>
  </si>
  <si>
    <t>Planeada</t>
  </si>
  <si>
    <t>En Ejecución</t>
  </si>
  <si>
    <t>TIPO DE CONTROL</t>
  </si>
  <si>
    <t>Falta de procedimientos que permitan realizar el conocimiento de los empleados vinculados.</t>
  </si>
  <si>
    <t xml:space="preserve">No se cuenta con una política de verificación de antecedentes para los empleados de ingreso. </t>
  </si>
  <si>
    <t>VALORACIÓN POR SCORE DE CALIFICACIÓN</t>
  </si>
  <si>
    <r>
      <rPr>
        <b/>
        <sz val="14"/>
        <color theme="1"/>
        <rFont val="Candara"/>
        <family val="2"/>
      </rPr>
      <t>NOTA:</t>
    </r>
    <r>
      <rPr>
        <sz val="14"/>
        <color theme="1"/>
        <rFont val="Candara"/>
        <family val="2"/>
      </rPr>
      <t xml:space="preserve"> La definición de los riesgos inherente y residual, riesgos por factor de riesgo y riesgos por proceso se realizan con el promedio aritmético de las probabilidades e impactos de cada uno de los riesgos asociados.</t>
    </r>
  </si>
  <si>
    <t>Factores de Riesgo</t>
  </si>
  <si>
    <t>Código Factor</t>
  </si>
  <si>
    <t>Subproceso</t>
  </si>
  <si>
    <t>Código subproceso</t>
  </si>
  <si>
    <t>Gerencia General</t>
  </si>
  <si>
    <t>Servicios administrativos</t>
  </si>
  <si>
    <t>Facturación y cartera</t>
  </si>
  <si>
    <t>Knowledge management</t>
  </si>
  <si>
    <t>Planeación financiera</t>
  </si>
  <si>
    <t>Tecnología</t>
  </si>
  <si>
    <t>Real Estate</t>
  </si>
  <si>
    <t>Sociedades</t>
  </si>
  <si>
    <t>Energía / Minería / Infraestructura</t>
  </si>
  <si>
    <t>Cumplimiento corporativo</t>
  </si>
  <si>
    <t>Impuestos</t>
  </si>
  <si>
    <t>M&amp;A / Private Equity</t>
  </si>
  <si>
    <t>SEGMENTO</t>
  </si>
  <si>
    <t>PROCESOS/ÁREAS DE PRÁCTICAS</t>
  </si>
  <si>
    <t>Proveedores</t>
  </si>
  <si>
    <t>Accionistas</t>
  </si>
  <si>
    <t>Clientes</t>
  </si>
  <si>
    <t>Canales comerciales y/o transaccionales</t>
  </si>
  <si>
    <t>Valor Cualitativo</t>
  </si>
  <si>
    <t>Descripción en Términos de Riesgo Legal</t>
  </si>
  <si>
    <t>Descripción en Términos de Riesgo de Contagio</t>
  </si>
  <si>
    <t>Descripción en Términos de Riesgo Operacional</t>
  </si>
  <si>
    <t>Descripción en términos de Riesgo Reputacional</t>
  </si>
  <si>
    <t>Recomendación de autoridad competente.</t>
  </si>
  <si>
    <t>Plan de ajuste valor implementación de las actividades.</t>
  </si>
  <si>
    <t>Efectos legales y reputacionales derivados de la relación con un beneficiario final involucrado en alguna actividad de LA/FT/FPADM.</t>
  </si>
  <si>
    <t>Orden administrativa y/o procesos judiciales sin fallo por parte de jueces.</t>
  </si>
  <si>
    <t>Efectos legales y reputacionales derivados de la relación con un cliente involucrado en alguna actividad de LA/FT/FPADM.</t>
  </si>
  <si>
    <t>Mayor</t>
  </si>
  <si>
    <t>VALORACION RIESGO INHERENTE</t>
  </si>
  <si>
    <t>cantidad x</t>
  </si>
  <si>
    <t>Facturación</t>
  </si>
  <si>
    <t>Creación de proveedores</t>
  </si>
  <si>
    <t>Cartera</t>
  </si>
  <si>
    <t>Creación de clientes y asuntos</t>
  </si>
  <si>
    <t>Tesorería</t>
  </si>
  <si>
    <t>Nómina y administración de personal</t>
  </si>
  <si>
    <t>Compensación y beneficios</t>
  </si>
  <si>
    <t>Correspondencia</t>
  </si>
  <si>
    <t>Archivo</t>
  </si>
  <si>
    <t>Servicios Generales</t>
  </si>
  <si>
    <t>Soporte a usuarios</t>
  </si>
  <si>
    <t>Soporte de aplicaciones</t>
  </si>
  <si>
    <t>Desarrollo de negocios, mercadeo y comunicaciones</t>
  </si>
  <si>
    <t>Mercadeo y comunicaciones</t>
  </si>
  <si>
    <t>Procesos/Áreas de Práctica</t>
  </si>
  <si>
    <t>Código proceso</t>
  </si>
  <si>
    <t>Tipo riesgo</t>
  </si>
  <si>
    <t>Código riesgo</t>
  </si>
  <si>
    <t>Nivel de riesgo</t>
  </si>
  <si>
    <t>Tratamiento</t>
  </si>
  <si>
    <t>Estado de acciones</t>
  </si>
  <si>
    <t>Valor cuantitativo</t>
  </si>
  <si>
    <t>Descripción</t>
  </si>
  <si>
    <t>Valor cualitativo</t>
  </si>
  <si>
    <t>Posibilidad de entregar información incompleta o errónea al área encargada de responder un requerimiento sobre LA/FT/FPADM realizado por un ente de control.</t>
  </si>
  <si>
    <t>Falta de procedimientos que permitan garantizar la generación de información por parte del área de contabilidad sobre información financiera.</t>
  </si>
  <si>
    <t>Falta de un procedimiento para el pago de facturas documentado y aprobado que incluyan la obligación de consultar la lista vinculante y de control previamente a realizar el pago.</t>
  </si>
  <si>
    <t>Empleados</t>
  </si>
  <si>
    <t>CALCULOS</t>
  </si>
  <si>
    <t>Posibilidad de realizar un pago de factura a un proveedor que se encuentra en listas vinculantes y de control.</t>
  </si>
  <si>
    <t>Posibilidad de tener relación legal o contractual con empresas fachada que realicen transacciones o contratos relacionadas con  LA/FT/FPADM.</t>
  </si>
  <si>
    <t>Deficiencias en la calidad de la información de las listas /externas o en el sistema de prevención del LA/FT/FPADM.</t>
  </si>
  <si>
    <t>Posibilidad de tener relación legal o contractual con proveedores persona jurídica con estructuras societarias complejas, que dificultan la identificación de sus accionistas y/o beneficiarios finales, facilitando el ocultamiento de personas cuya intención consiste en lavar activos o financiar el terrorismo.</t>
  </si>
  <si>
    <t>Omisión o falla en la ejecución de procedimientos relacionados con la debida diligencia intensificada en la creación del proveedor.</t>
  </si>
  <si>
    <t>Omisión o falla en la ejecución de procedimientos relacionados con la debida diligencia o debida diligencia intensificada en la creación del proveedor.</t>
  </si>
  <si>
    <t>Posibilidad de generar un pago de factura a un cliente o pagador (payer) que se encuentra en listas vinculantes y de control.</t>
  </si>
  <si>
    <t>Falta de un procedimiento para la generación las facturas documentado y aprobado que incluyan la obligación de consultar la lista vinculante y de control previamente a generar la factura que incluya al cliente o pagador (payer).</t>
  </si>
  <si>
    <t>Posibilidad de recuperar valores en la gestión de cobro sin el conocimiento del origen de los fondos.</t>
  </si>
  <si>
    <t>Falla u omisión en la verificación del origen de los recursos con los que el cliente paga un servicio.</t>
  </si>
  <si>
    <t>Posibilidad de recibir un cheque como pago a una obligación por parte de un tercero que no tenga ninguna relación con el contrato diferente a un pagador (payer).</t>
  </si>
  <si>
    <t>Falla u omisión del procedimiento establecido para el pago con cheque.</t>
  </si>
  <si>
    <t>Posibilidad de que la firma realice pagos a terceros en países catalogados de alto riesgo LA/FT/FPADM.</t>
  </si>
  <si>
    <t>Posibilidad de tener relaciones contractuales, legales o comerciales con clientes relacionados con delitos LA/FT/FPADM</t>
  </si>
  <si>
    <t>Posibilidad de tener relaciones contractuales, legales o comerciales con proveedores relacionados con delitos LA/FT/FPADM</t>
  </si>
  <si>
    <t>Posibilidad de tener relaciones contractuales, legales o comerciales con empleados relacionados con delitos LA/FT/FPADM</t>
  </si>
  <si>
    <t>Omisión o falla en la ejecución de procedimientos relacionados con la debida diligencia intensificada de conocimiento del proveedor.</t>
  </si>
  <si>
    <t>Posibilidad de concentración de recaudos de cuentas por cobrar por servicios prestados en zonas y jurisdicciones de alto riesgo en materia de LA/FT/FPADM.</t>
  </si>
  <si>
    <t>Falla u omisión en los procedimientos relacionados con debida diligencia intensificada y procedimiento de facturación.</t>
  </si>
  <si>
    <t>Falla u omisión en la verificación de las políticas y procedimientos sobre conocimiento para el cliente o del cliente en temas LA/FT/FPADM.</t>
  </si>
  <si>
    <t>Falla u omisión en la verificación de las políticas y procedimientos sobre conocimiento para el proveedor o del proveedor en temas LA/FT/FPADM.</t>
  </si>
  <si>
    <t>Falla u omisión en la verificación de las políticas y procedimientos sobre conocimiento para el empleado o del empleado en temas LA/FT/FPADM.</t>
  </si>
  <si>
    <t>Posibilidad de tener relaciones contractuales, legales o comerciales con accionistas relacionados con delitos LA/FT/FPADM</t>
  </si>
  <si>
    <t>Falla u omisión en la verificación de las políticas y procedimientos sobre conocimiento para el accionista o del accionista en temas LA/FT/FPADM.</t>
  </si>
  <si>
    <t>Posibilidad de recibir prepagos de facturas por servicios prestados sin verificar el origen de los fondos.</t>
  </si>
  <si>
    <t>Posibilidad de utilización de un servicio prestado por la Firma para realizar operaciones relacionadas con LA/FT/FPADM.</t>
  </si>
  <si>
    <t>Omisión o falla en la estructuración de servicios prestados por la Firma.</t>
  </si>
  <si>
    <t>Posibilidad de utilización de un canal comercial o transaccional de la Firma para realizar operaciones relacionadas con LA/FT/FPADM.</t>
  </si>
  <si>
    <t>Omisión o falla en la verificación de las operaciones realizadas a través de los canales comerciales y/o transaccionales.</t>
  </si>
  <si>
    <t>Posibilidad de tener negocios en jurisdicciones de alto riesgo LA/FT/FPADM.</t>
  </si>
  <si>
    <t>Omisión o falla en la verificación de las políticas y procedimientos relacionados con LA/FT/FPADM.</t>
  </si>
  <si>
    <t>Omisión o falla en la ejecución de las políticas y procedimientos relacionados con LA/FT/FPADM.</t>
  </si>
  <si>
    <t>Posibilidad que en el proceso de pricing se antepongan metas o criterios comerciales a las políticas y/o procedimientos en materia de riesgo de LA/FT/FPADM.</t>
  </si>
  <si>
    <t>Falla u omisión en la aplicación de la política de anteponer el cumplimiento de las políticas y procedimientos en materia de riesgo LA/FT/FPADM a los objetivos o metas comerciales.</t>
  </si>
  <si>
    <t>Posibilidad de tener relación legal o contractual con clientes que realicen falsificación de documentos para su vinculación como por ejemplo:  información financiera, información de contacto, información demográfica y legal con el objetivo de vulnerar los procesos de la Firma y así poder vincularse y posiblemente realizar transacciones relacionadas con LA/FT/FPADM.</t>
  </si>
  <si>
    <t>Posibilidad de tener relación legal o contractual con proveedores que realicen falsificación de documentos para su vinculación como por ejemplo:  información financiera, información de contacto, información demográfica y legal con el objetivo de vulnerar los procesos de la Firma y así poder vincularse y posiblemente realizar transacciones relacionadas con LA/FT/FPADM.</t>
  </si>
  <si>
    <t>Falta de procedimientos que permitan garantizar la generación de información por parte del área de planeación financiera.</t>
  </si>
  <si>
    <t>Omisión o falla en la ejecución de procedimientos relacionados con la debida diligencia o debida diligencia intensificada en la creación del cliente.</t>
  </si>
  <si>
    <t>Posibilidad de crear clientes relacionadas con actividades LA/FT/FPADM.</t>
  </si>
  <si>
    <t>Posibilidad de crear proveedores (socios) relacionados con actividades LA/FT/FPADM.</t>
  </si>
  <si>
    <t>Posibilidad de tener relación legal o contractual con empresas fachada que realicen transacciones o contratos relacionados con LA/FT/FPADM.</t>
  </si>
  <si>
    <t>Omisión o falla en la ejecución de procedimientos relacionados con la debida diligencia intensificada en la creación del cliente.</t>
  </si>
  <si>
    <t>Posibilidad de utilizar una casa de cambio en el proceso de compra y/o venta de dólares para la entrega y/o pago de biáticos a los abogados que este relacionada con actividades LA/FT/FPADM.</t>
  </si>
  <si>
    <t>Omisión o falla en la ejecución de procedimientos relacionados con la debida diligencia y debida diligencia intensificada de conocimiento del proveedor.</t>
  </si>
  <si>
    <t>Posibilidad de tener relación legal o contractual con clientes persona jurídica con estructuras societarias complejas, que dificultan la identificación de sus accionistas y/o beneficiarios finales, facilitando el ocultamiento de personas cuya intención consiste en lavar activos o financiar el terrorismo.</t>
  </si>
  <si>
    <t>Posibilidad de vincular empleados que generen señales de alerta sin la verificación del Oficial de Cumplimiento.</t>
  </si>
  <si>
    <t>Posibilidad de contratar nuevos empleados que han tenido ocupaciones catalogadas por la Firma como de alto riesgo y puede estar relacionado con actividades de LA/FT/FPADM.</t>
  </si>
  <si>
    <t xml:space="preserve">Posibilidad de contratar nuevos empleados sobre los que se han emitido información negativa en medios de comunicación, están o han estado incluídos en procesos judiciales o administrativos por delitos relacionados con LA/FT/FPADM. </t>
  </si>
  <si>
    <t>Posibilidad de contratar nuevos empleados que se encuentren en listas vinculantes y de control.</t>
  </si>
  <si>
    <t>Posibilidad de contratar nuevos empleados que para su vinculación entreguen información falsificada de documentos con el objetivo de facilitar la realización de operaciones relacionadas al LA/FT/FPADM.</t>
  </si>
  <si>
    <t>Posibilidad de contratar nuevos empleados que se han desempeñado profesionalmente en jurisdicciones consideradas de alto riesgo LA/FT/FPADM.</t>
  </si>
  <si>
    <t>Posibilidad de contratar nuevos empleados relacionados con procesos altamente sensibles sin un estudio de seguridad.</t>
  </si>
  <si>
    <t>Posibilidad de tener relación legal o contratar bienes y servicios con Personas Expuestas Políticamente (PEP) que se puedan aprovechar de su condición para realizar actividades de LA/FT/FPADM.</t>
  </si>
  <si>
    <t xml:space="preserve">Posibilidad de tener relación legal o contratar bienes y servicios con relacionados de Personas Expuestas Políticamente (PEP) que se puedan aprovechar de su condición para realizar actividades de LA/FT/FPADM. </t>
  </si>
  <si>
    <t>Posibilidad de tener relación legal o contractual con Personas Expuestas Políticamente (PEP) que se puedan aprovechar de su condición para realizar actividades de LA/FT/FPADM.</t>
  </si>
  <si>
    <t xml:space="preserve">Posibilidad de tener relación legal o contractual con relacionados de Personas Expuestas Políticamente (PEP) que se puedan aprovechar de su condición para realizar actividades de LA/FT/FPADM. </t>
  </si>
  <si>
    <t>Reclutamiento y contratación</t>
  </si>
  <si>
    <t>Posibilidad de contratar nuevos empleados que son Personas Expuestas Políticamente (PEP) que se puedan aprovechar de su condición para realizar actividades de LA/FT/FPADM.</t>
  </si>
  <si>
    <t xml:space="preserve">Posibilidad de contratar nuevos empleados que están relacionados de Personas Expuestas Políticamente (PEP) que se puedan aprovechar de su condición para realizar actividades de LA/FT/FPADM. </t>
  </si>
  <si>
    <t>Posibilidad de contratar nuevos empleados que tengan antecedentes o investigaciones disciplinarias.</t>
  </si>
  <si>
    <t>Posibilidad de que un empleado aparezca en listas vinculantes y de control en la revisión periódica de éstas.</t>
  </si>
  <si>
    <t>Posibilidad que se antepongan metas o criterios comerciales a las políticas y/o procedimientos en materia de riesgo de LA/FT/FPADM para la obtención de bonos ofrecidos por la Firma.</t>
  </si>
  <si>
    <t>Omisión o falla en la ejecución de procedimientos relacionados con la debida diligencia intensificada de conocimiento del cliente.</t>
  </si>
  <si>
    <t>Omisión o falla en la ejecución de procedimientos relacionados con la debida diligencia intensificada.</t>
  </si>
  <si>
    <t>Posibilidad de generar una relación legal o contractual con un prospecto de cliente proveniente de reuniones con gremios o asociaciones que tenga actividades LA/FT/FPADM.</t>
  </si>
  <si>
    <t xml:space="preserve">Posibilidad de pérdida de información relacionada con la administración del riesgo LA/FT/FPADM. </t>
  </si>
  <si>
    <t>Posibilidad de ofrecimientos de dinero o dádivas a empleados del área adminsitrativa (archivo, correspondencia y mensajería) para obtener información comercial, legal o contractual de la Firma.</t>
  </si>
  <si>
    <t>Posibilidad de recibir una comunicación por parte de un ente de control relacionado con temas LA/FT/FPADM y el mismo no llegue a tiempo a la Oficial de Cumplimiento para dar respuesta en los términos del mismo.</t>
  </si>
  <si>
    <t>Posibilidad de ofrecimientos de dinero o dádivas por parte de proveedores a empleados del área adminsitrativa (servicios generales) para tener prioridad en la compra de servicios e insumos para la oficina.</t>
  </si>
  <si>
    <t>Posibilidad de fallas en las herramientas tecnológicas que soportan la actividad del Oficial de Cumplimiento en relación con el SAGRILAFT.</t>
  </si>
  <si>
    <t>Posibilidad de demoras en la atención de los requerimientos realizados por la Oficial de Cumplimiento a Tecnología en relación con temas LA/FT/FPADM.</t>
  </si>
  <si>
    <t>Posibilidad de vincular clientes que estén relacionados o realicen operaciones con Criptomonedas y que con puedan estar haciendo operaciones de LA/FT/FPADM.</t>
  </si>
  <si>
    <t>Posibilidad que prospectos de clientes vinculados a actividades LA/FT/FPADM busquen ser invitados a eventos, talleres, reuniones, entre otros, organizados o en los que participa la Firma, con el objetivo de establecer una relación comercial, legal o contractual.</t>
  </si>
  <si>
    <t>Servicios</t>
  </si>
  <si>
    <t>Posibilidad de exposición negativa frente a una entidad de supervisión, regulación y control por cambios normativos expedidos por estas.</t>
  </si>
  <si>
    <t>Posibilidad de tener relaciones contractuales, legales o comerciales con clientes vinculados al sector de la construcción, inmobiliarias y bienes raíces relacionados con delitos LA/FT/FPADM.</t>
  </si>
  <si>
    <t>Posibilidad de utilización del servicio de derecho inmobiliario prestado por la Firma para realizar operaciones relacionadas con LA/FT/FPADM.</t>
  </si>
  <si>
    <t>Posibilidad de utilización del servicio de derecho societario, reorganizaciones o reestructuraciones prestados por la Firma para realizar operaciones relacionadas con LA/FT/FPADM.</t>
  </si>
  <si>
    <t>Posibilidad de tener relaciones contractuales, legales o comerciales con clientes de sociedades relacionadas con delitos LA/FT/FPADM</t>
  </si>
  <si>
    <t>Posibilidad de tener relaciones contractuales, legales o comerciales con clientes vinculados a los sectores de minería de metales preciosos como oro, plata, platino y arenas minerales y uranio relacionados con delitos LA/FT/FPADM.</t>
  </si>
  <si>
    <t>Posibilidad de tener relaciones contractuales, legales o comerciales con clientes vinculados a los sectores de energía, petróleo, gas e infraestructura relacionados con delitos LA/FT/FPADM especialmente en temas de corrupción.</t>
  </si>
  <si>
    <t>Posibilidad de utilización del servicio de derecho energético y minero prestado por la Firma para realizar operaciones relacionadas con LA/FT/FPADM.</t>
  </si>
  <si>
    <t>Posibilidad de tener relaciones contractuales, legales o comerciales con clientes que tienen la obligación de tributar relacionados con delitos LA/FT/FPADM</t>
  </si>
  <si>
    <t>Posibilidad de utilización del servicio de derecho tributario prestado por la Firma para realizar operaciones relacionadas con LA/FT/FPADM.</t>
  </si>
  <si>
    <t>Posibilidad de tener relaciones contractuales, legales o comerciales con clientes que buscan realizar fusiones o adquisiciones relacionados con delitos LA/FT/FPADM</t>
  </si>
  <si>
    <t>Posibilidad de utilización del servicio de fusiones y adquisiciones prestado por la Firma para realizar operaciones relacionadas con LA/FT/FPADM.</t>
  </si>
  <si>
    <t>Omisión o falla en la verificación del establecimiento de relaciones comerciales a través de este canal.</t>
  </si>
  <si>
    <t>Omisión o falla en la ejecución de procedimientos relacionados con la debida diligencia de conocimiento del empleado.</t>
  </si>
  <si>
    <t>Omisión o falla en la ejecución de procedimientos relacionados con la debida diligencia y debida diligencia intensificada de conocimiento del empleado.</t>
  </si>
  <si>
    <t>Falla u omisión por parte del cliente en la aplicación del código de ética y conducta de la Firma.</t>
  </si>
  <si>
    <t>Falla u omisión en la aplicación del procedimiento de respuesta a requerimientos por parte de entes de control.</t>
  </si>
  <si>
    <t>Falla u omisión en la aplicación del procedimiento de conservación de archivo y documentación.</t>
  </si>
  <si>
    <t>Falla u omisión por parte del proveedor en la aplicación del código de ética y conducta de la Firma.</t>
  </si>
  <si>
    <t>Falla u omisión en los procedimientos relacionados con tecnología.</t>
  </si>
  <si>
    <t>Omisión o falla en la ejecución de procedimientos relacionados con la debida diligencia.</t>
  </si>
  <si>
    <t>Omisión o falla en la revisión y/o actualización de los cambios normativos expedidos por órganos de supervisión, regulación y control.</t>
  </si>
  <si>
    <t>Posibilidad de tener relaciones contractuales, legales o comerciales con clientes relacionados con delitos LA/FT/FPADM.</t>
  </si>
  <si>
    <t xml:space="preserve">Posibilidad de tener relación legal, contractual o comercial con clientes sobre las que se ha emitido información negativa en medios de comunicación, están o han estado incluídos en procesos judiciales o administrativos por delitos relacionados con LA/FT/FPADM. </t>
  </si>
  <si>
    <t xml:space="preserve">Posibilidad de tener relación legal, contractual o comercial con proveedores sobre las que se ha emitido información negativa en medios de comunicación, están o han estado incluido en procesos judiciales o administrativos por delitos relacionados con LA/FT/FPADM. </t>
  </si>
  <si>
    <t>Posibilidad  de tener relación legal, contractual o comercial con proveedores personas naturales o jurídicas con ocupaciones catalogadas por la Firma como de alto riesgo y que puedan estar relacionados con actividades de LA/FT/FPADM.</t>
  </si>
  <si>
    <t>Posibilidad  de tener relación legal, contractual o comercial con clientes personas naturales o jurídicas con ocupaciones catalogadas por la Firma como de alto riesgo y que puedan estar relacionados con actividades de LA/FT/FPADM.</t>
  </si>
  <si>
    <t>0034</t>
  </si>
  <si>
    <t>Proceso/Área de práctica</t>
  </si>
  <si>
    <t>VALORACIÓN CONSECUENCIA (IMPACTO)</t>
  </si>
  <si>
    <t>EVENTO DE RIESGO</t>
  </si>
  <si>
    <t>Evento de riesgo</t>
  </si>
  <si>
    <t>Segmento</t>
  </si>
  <si>
    <t>No. Riesgo</t>
  </si>
  <si>
    <t>Factor de riesgo</t>
  </si>
  <si>
    <t>Riesgo asociado</t>
  </si>
  <si>
    <t>Causa</t>
  </si>
  <si>
    <t>Consecuencias</t>
  </si>
  <si>
    <t>Valoración consecuencia riesgos asociados</t>
  </si>
  <si>
    <t>Valoración riesgo inherente</t>
  </si>
  <si>
    <t>Nivel del riesgo (Riesgo inherente)</t>
  </si>
  <si>
    <t>Tratamiento del riesgo</t>
  </si>
  <si>
    <t>Preventivo</t>
  </si>
  <si>
    <t>Detectivo</t>
  </si>
  <si>
    <t>Correctivo</t>
  </si>
  <si>
    <t>EFECTIVIDAD CONTROL</t>
  </si>
  <si>
    <t>Posibilidad de tener relaciones contractuales, legales o comerciales con proveedores relacionados con delitos LA/FT/FPADM.</t>
  </si>
  <si>
    <t>Posibilidad de tener relaciones contractuales, legales o comerciales con accionistas relacionados con delitos LA/FT/FPADM.</t>
  </si>
  <si>
    <t>Mitigar el riesgo de LA/FT/FPADM, Asegurar el cumplimiento de la política, Asegurar el cumplimiento del procedimiento, cumplir con las exigencias legales, normativas y de las buenas prácticas.</t>
  </si>
  <si>
    <t>Políticas</t>
  </si>
  <si>
    <t>Procedimientos</t>
  </si>
  <si>
    <t>Actividades de control</t>
  </si>
  <si>
    <t>Cada vez que se requiera</t>
  </si>
  <si>
    <t>Determinar los responsables. Tiempo de ejecución</t>
  </si>
  <si>
    <t>Plan/Programa</t>
  </si>
  <si>
    <t>Reporte del resultado de la verificación.</t>
  </si>
  <si>
    <t>Políticas/procedimientos</t>
  </si>
  <si>
    <t>Impacto total</t>
  </si>
  <si>
    <t>CLASE DE CONTROL</t>
  </si>
  <si>
    <t>RS</t>
  </si>
  <si>
    <t>DN</t>
  </si>
  <si>
    <t>EMI</t>
  </si>
  <si>
    <t>So</t>
  </si>
  <si>
    <t>Líder de Proceso</t>
  </si>
  <si>
    <t>Código evento</t>
  </si>
  <si>
    <t>Riesgos asociados</t>
  </si>
  <si>
    <t>INHERENTE</t>
  </si>
  <si>
    <t>RESIDUAL</t>
  </si>
  <si>
    <t>Revisión por la Dirección</t>
  </si>
  <si>
    <t>Mantenimiento de Infraestructura</t>
  </si>
  <si>
    <t>Colaboradores</t>
  </si>
  <si>
    <t>Posibilidad de utilización de un producto y/o servicio prestado por la Compañía para realizar operaciones relacionadas con LA/FT/FPADM.</t>
  </si>
  <si>
    <t>Posibilidad de utilización de un canal comercial o transaccional de la Compañía para realizar operaciones relacionadas con LA/FT/FPADM.</t>
  </si>
  <si>
    <t xml:space="preserve">Posibilidad de tener relaciones contractuales, legales o comerciales con clientes relacionados con delitos LA/FT/FPADM. </t>
  </si>
  <si>
    <t xml:space="preserve">Posibilidad de tener relaciones contractuales, legales o comerciales con colaboradores relacionados con delitos LA/FT/FPADM. </t>
  </si>
  <si>
    <t>Productos y/o servicios</t>
  </si>
  <si>
    <t>Posibilidad de entregar información incompleta o errónea al área encargada de responder un requerimiento sobre LA/FT/FPADM realizado por un ente de control. (sobre accionistas)</t>
  </si>
  <si>
    <t>Pago de facturas a un tercero sin verificar listas vinculantes y de control LA/FT/FPADM.</t>
  </si>
  <si>
    <t>Productos y/o servicos</t>
  </si>
  <si>
    <t>FAC7</t>
  </si>
  <si>
    <t>TNS01</t>
  </si>
  <si>
    <t>TNS02</t>
  </si>
  <si>
    <t>TNS04</t>
  </si>
  <si>
    <t>TNS19</t>
  </si>
  <si>
    <t>Procesos</t>
  </si>
  <si>
    <t>Distribuidores</t>
  </si>
  <si>
    <t>Gestores</t>
  </si>
  <si>
    <t>Contrapartes</t>
  </si>
  <si>
    <t>FAC8</t>
  </si>
  <si>
    <t>Sanción de multa por organismo nacional, suspensión parcial de actividades autorizadas, remoción de administradores o multa de organismos nacionales y/o procesos judiciales con fallo por parte de jueces en contra.</t>
  </si>
  <si>
    <t>MATRIZ LA/FT/FPADM LOTERÍA DE BOGOTÁ</t>
  </si>
  <si>
    <t>Planeación y Direccionamiento Estratégico</t>
  </si>
  <si>
    <t>Gestión de Comunicaciones</t>
  </si>
  <si>
    <t xml:space="preserve">Explotación de JSA </t>
  </si>
  <si>
    <t>Gestión de Recaudo</t>
  </si>
  <si>
    <t>Control Inspección y Fiscalización</t>
  </si>
  <si>
    <t>Atención y Servicio al Cliente</t>
  </si>
  <si>
    <t>Gestión de Talento Humano</t>
  </si>
  <si>
    <t>Gestión Financiera y Contable</t>
  </si>
  <si>
    <t>Gestión de Bienes y Servicios</t>
  </si>
  <si>
    <t>Gestión Documental</t>
  </si>
  <si>
    <t>Gestión de las Tecnologías y la Información</t>
  </si>
  <si>
    <t>Gestión Jurídica</t>
  </si>
  <si>
    <t>Evaluación Independiente y Control a la Gestión</t>
  </si>
  <si>
    <t>Control Interno Disciplinario</t>
  </si>
  <si>
    <t>Procesos/Áreas de práctica</t>
  </si>
  <si>
    <t>Efectos legales y reputacionales derivados de la relación con un Miembros de Junta Directiva y/o Representantes Legales involucrados en alguna actividad de LA/FT/FPADM.</t>
  </si>
  <si>
    <t>Efectos legales y reputacionales derivados de la relación con un contratista o contraparte involucrado en alguna actividad de LA/FT/FPADM.</t>
  </si>
  <si>
    <t>Fallas en procesos, personas, tecnología e infraestructura que no representan pérdida económica o interrupción de la operación por
menos de un (1) día.</t>
  </si>
  <si>
    <t xml:space="preserve">El riesgo afecta la imagen de
algún área y/o unidad de la
Entidad.
</t>
  </si>
  <si>
    <t>Fallas en procesos, personas, tecnología e infraestructura que representan pérdida económica o interrupción de la operación por
un (1) día completo.</t>
  </si>
  <si>
    <t xml:space="preserve">El riesgo afecta la imagen de la
Entidad internamente, de
conocimiento general, de Junta
Directiva, contratistas y/o
proveedores.
</t>
  </si>
  <si>
    <t xml:space="preserve">Fallas en procesos, personas, tecnología e infraestructura que representan pérdida económica o interrupción de la operación
mayor a un (1) día y menor a
dos (2) días.
</t>
  </si>
  <si>
    <t>El riesgo afecta la imagen de la
Entidad, con algunos usuarios de
relevancia frente al logro de los
objetivos.</t>
  </si>
  <si>
    <t>Efectos legales y reputacionales derivados de la relación con un contratista y/o servidor público involucrado en alguna actividad de LA/FT/FPADM.</t>
  </si>
  <si>
    <t xml:space="preserve">Fallas en procesos, personas, tecnología e infraestructura que representan pérdida económica o interrupción de la operación por
dos (2) días completos.
</t>
  </si>
  <si>
    <t>El riesgo afecta la imagen de la
Entidad, con efecto publicitario
sostenido a nivel de sector
administrativo, nivel
departamental o municipal.</t>
  </si>
  <si>
    <t>Clausura de la entidad, bloqueo económico o multas de organismos nacionales.</t>
  </si>
  <si>
    <t>Fallas en procesos, personas, tecnología e infraestructura que representan pérdida económica o interrupción de la operación por
más de dos (2) días completos.</t>
  </si>
  <si>
    <t xml:space="preserve">El riesgo afecta la imagen de la
Entidad, con efecto publicitario
sostenido a nivel nacional, con
efecto publicitario sostenido a
nivel país.
</t>
  </si>
  <si>
    <t>Leve</t>
  </si>
  <si>
    <t>Muy Baja</t>
  </si>
  <si>
    <t>La situación nunca ha ocurrido o difícilmente ocurrirá. No
obstante, el riesgo es concebible, no es esperable su
materialización.</t>
  </si>
  <si>
    <t>Baja</t>
  </si>
  <si>
    <t xml:space="preserve">La situación tiene una ocurrencia esporádica. La
materialización es esperable en un nivel mínimo.
</t>
  </si>
  <si>
    <t>Media</t>
  </si>
  <si>
    <t>Alta</t>
  </si>
  <si>
    <t xml:space="preserve">La situación tiene ocurrencia frecuente pero no continua. La
materialización del riesgo puede darse algunas veces en un
periodo.
</t>
  </si>
  <si>
    <t>Muy Alta</t>
  </si>
  <si>
    <t>La situación tiene ocurrencia frecuente y continua. La
materialización del riesgo ocurre con frecuencia o de forma
permanente.</t>
  </si>
  <si>
    <t>Los riesgos en este nivel representan una alta exposición LA/FT/FPADM para la Lotería, se deben aplicar medidas de debida diligencia ordinarias o intensificadas según su criticidad para prevenir o tratar en el corto plazo para asegurar una disminución en su nivel y se actualizarán y/o verificarán por mínimo anualmente.</t>
  </si>
  <si>
    <t>Los riesgos en este nivel representan una alta exposición LA/FT/FPADM para la Lotería, se deben aplicar medidas de debida diligencia intensificadas y  deben ser tratados de forma inmediata  para asegurar una disminución en su nivel o evitar tenerlos, se deben monitorear de manera permanente y se actualizarán y/o verificarán por mínimo semestralmente.</t>
  </si>
  <si>
    <t xml:space="preserve">La situación tiene una ocurrencia eventual. La materialización
del riesgo puede darse alguna vez.
</t>
  </si>
  <si>
    <t>Los riesgos en este nivel representan una baja exposición LA/FT/FPADM para la Lotería, estos no tendrán tratamiento, se actualizarán y verificarán por lo menos una vez cada año de acuerdo con las medidas simplificadas.</t>
  </si>
  <si>
    <t xml:space="preserve">Los riesgos en este nivel representan una mediana exposición LA/FT/FPADM para la Lotería que debe ser tratada por el propietario del riesgo en el mediano plazo y se deben aplicar medidas satisfactorias para la mitigación del mismo y se actualizarán y/o verificarán cada 12 meses. </t>
  </si>
  <si>
    <t>Mayor exposición de la Lotería al riesgo de LA/FT/FPADM.
Deterioro de los procesos operativos.
Pérdida de reputación.
Procesos judiciales, disciplinarios y/o legales.
Sanciones del supervisor, regulador y/o entes de control.
Pérdida de mercado.</t>
  </si>
  <si>
    <t>Mayor exposición de la Lotería al riesgo de LA/FT/FPADM.
Deterioro de los procesos operativos.
Pérdida de reputación.
Procesos judiciales, disciplinarios y/o legales.
Sanciones del supervisor, regulador y/o entes de control.
Pérdida de mercado.
Evento de contagio que afecte a la Lotería por el efecto rebote.</t>
  </si>
  <si>
    <t>Mayor exposición de la Lotería al riesgo de LA/FT/FPADM.
Deterioro de los procesos operativos.
Procesos judiciales, disciplinarios y/o legales.
Sanciones del supervisor, regulador y/o entes de control.
Pérdida de mercado.
Evento de contagio que afecte a la Lotería por el efecto rebote.</t>
  </si>
  <si>
    <t>Mayor exposición de la Lotería al riesgo de LA/FT/FPADM.
Deterioro de los procesos operativos.
Pérdida de reputación.
Pérdida de mercado.
Evento de contagio que afecte a la Lotería por el efecto rebote.</t>
  </si>
  <si>
    <t>Mayor exposición de la Lotería al riesgo de LA/FT/FPADM.
Pérdida de reputación.
Procesos judiciales, disciplinarios y/o legales.
Sanciones del supervisor, regulador y/o entes de control.
Pérdida de mercado.
Evento de contagio que afecte a la Lotería por el efecto rebote.</t>
  </si>
  <si>
    <t>Mayor exposición de la Lotería al riesgo de LA/FT/FPADM.
Deterioro de los procesos operativos.
Procesos judiciales, disciplinarios y/o legales.
Sanciones del supervisor, regulador y/o entes de control.</t>
  </si>
  <si>
    <t>Mayor exposición de la Lotería al riesgo de LA/FT/FPADM.
Deterioro de los procesos operativos.</t>
  </si>
  <si>
    <t>Mayor exposición de la Lotería al riesgo de LA/FT/FPADM.
Pérdida de reputación.
Procesos judiciales, disciplinarios y/o legales.
Sanciones del supervisor, regulador y/o entes de control.</t>
  </si>
  <si>
    <t>LB01</t>
  </si>
  <si>
    <t>LB02</t>
  </si>
  <si>
    <t>LB03</t>
  </si>
  <si>
    <t>LB04</t>
  </si>
  <si>
    <t>LB09</t>
  </si>
  <si>
    <t>LB10</t>
  </si>
  <si>
    <t>Gestión del Control Interno Disciplinario</t>
  </si>
  <si>
    <t xml:space="preserve">1. Filtración de la información del ganador de lotería, a personas externas a la entidad.
2. Tercero interesado en delitos de LA/FT/FPADM.
3. Evadir impuestos recibiendo beneficios económicos de terceros por parte del ganador de lotería. </t>
  </si>
  <si>
    <t>Elaboración de Orden de Pago</t>
  </si>
  <si>
    <t>Inversión de Excedentes de Liquidez y CDT´S en Custodia</t>
  </si>
  <si>
    <t>Posibilidad de utilización de un canal comercial o transaccional de la Lotería  para realizar operaciones relacionadas con LA/FT/FPADM.</t>
  </si>
  <si>
    <t>Gestión de Egresos y Gestión de Ingresos</t>
  </si>
  <si>
    <t>1. Omisión o falla en la verificación de las operaciones realizadas a través de los canales comerciales y/o transaccionales.</t>
  </si>
  <si>
    <t>1. Omisión o falla en la verificación de las políticas y procedimientos sobre conocimiento para las contrapartes en temas LA/FT/FPADM.
2. No se realiza consulta en listas vinculantes y de control (listas restrictivas).</t>
  </si>
  <si>
    <t>Gestión de LA/FT/FPADM</t>
  </si>
  <si>
    <t>Identificación y Análisis de Señales de Alerta y Análisis, Determinación y Reporte de Operaciones Inusuales</t>
  </si>
  <si>
    <t>Posibilidad de entregar información incompleta o errónea al área encargada de responder un requerimiento sobre LA/FT/FPADM realizado por un ente de control. (sobre todas las contrapartes)</t>
  </si>
  <si>
    <t>1. Omisión o falla en la aplicación del procedimiento de respuesta a requerimientos por parte de entes de control.</t>
  </si>
  <si>
    <t>Atención a Solicitudes y Requerimientos de Información por Parte de Autoridades Competentes y Entes Externos.</t>
  </si>
  <si>
    <t>Contratistas</t>
  </si>
  <si>
    <t>FAC9</t>
  </si>
  <si>
    <t>Preparación de Declaraciones Tributarias</t>
  </si>
  <si>
    <t>Gestión de Cartera</t>
  </si>
  <si>
    <t>Gestión de Ingresos</t>
  </si>
  <si>
    <t>1. Omisión o falla en la verificación del origen de los recursos con los que el la contraparte paga un producto y/o servicio.</t>
  </si>
  <si>
    <t>1.Omisión o falla por parte del Servidor Público y/o Contratista en la aplicación del Código de Integridad y Ética y conducta de la Entidad.</t>
  </si>
  <si>
    <t>Atención a Solicitudes, Peticiones, Quejas y Reclamos</t>
  </si>
  <si>
    <t>Servidores Públicos y/o Contratistas</t>
  </si>
  <si>
    <t>FAC10</t>
  </si>
  <si>
    <t>Convocatoria, Selección y Vinculación de Personal</t>
  </si>
  <si>
    <t>Vinculación PEP´S y/o Alto Riesgo y Debida Diligencia Ampliada</t>
  </si>
  <si>
    <t>Inducción y Reinducción</t>
  </si>
  <si>
    <t>1. Omisión o falla en la ejecución de procedimientos relacionados con la debida diligencia y debida dilegencia ampliada de  los Trabajadores Oficiales y Servidores de Libre Nombramiento y Remoción.</t>
  </si>
  <si>
    <t>Auditoría Interna</t>
  </si>
  <si>
    <t>Control de Documentos y Gestión de Archivo</t>
  </si>
  <si>
    <t>Plan Estratégico</t>
  </si>
  <si>
    <t>1. Omisión o falla en la aplicación del procedimiento de la creación y/o actualización del Plan Estratégico de la Entidad.</t>
  </si>
  <si>
    <t>FAC11</t>
  </si>
  <si>
    <t>1. Omisión o falla de la verificación en diversos medios de comunicación.</t>
  </si>
  <si>
    <t>Adquisición de Recursos Tencnológicos</t>
  </si>
  <si>
    <t>1. Omisión o falla en la aplicación del procedimiento de conservación de archivo y documentación.</t>
  </si>
  <si>
    <t>Administración de Usuarios</t>
  </si>
  <si>
    <t>1. Omisión o falla en la ejecución de procedimientos relacionados con la debida diligencia de conocimiento de los usuarios y/o clientes de la página web de la Lotería</t>
  </si>
  <si>
    <t>Contratación por Invitación Abierta, Directa, Privada, Licitación Pública, colaboradores de la Entidad.</t>
  </si>
  <si>
    <t>Concesionario</t>
  </si>
  <si>
    <t>1. Omisión o falla en la ejecución de procedimientos relacionados con el pago de premios.</t>
  </si>
  <si>
    <t>Recepción y Validación de Premios</t>
  </si>
  <si>
    <t>Inscripción, Registro de Distribuidores y Asignación de Cupo</t>
  </si>
  <si>
    <t>Control y Seguiemiento al Juego de Apuestas Permanentes o Chanche</t>
  </si>
  <si>
    <t>LAFT16</t>
  </si>
  <si>
    <t>Transversal a Todas las Áreas y/o Unidades</t>
  </si>
  <si>
    <t>Transversal a las Áreas y/o Unidades indicadas en el proceso</t>
  </si>
  <si>
    <t>LAFT17</t>
  </si>
  <si>
    <t>Gestión de Bienes y Servicios - Gestión de Talento Humano</t>
  </si>
  <si>
    <t>Convocatoria, Selección y Vinculación de Personal - Contratación por Invitación Abierta, Directa, Privada, Licitación Pública, colaboradores de la Entidad</t>
  </si>
  <si>
    <t>LAFT18</t>
  </si>
  <si>
    <t>Explotación de JSA - Control Inspección y Fiscalización</t>
  </si>
  <si>
    <t>Inscripción, Registro de Distribuidores y Asignación de Cupo - Control y Seguiemiento al Juego de Apuestas Permanentes o Chanche</t>
  </si>
  <si>
    <t>LB06</t>
  </si>
  <si>
    <t>FAC12</t>
  </si>
  <si>
    <t>Distribuidores y Gestores</t>
  </si>
  <si>
    <t>Servidores Públicos</t>
  </si>
  <si>
    <t>Posibilidad de no identificar señales de alerta y/u operaciones inusuales cualitativas y cuantitativas dentro de los movimientos de los Trabajadores Oficiales, Trabajadores de Libre Nombramiento y Remoción, Contratistas, Proveedores, Gestores, Distribuidores y demás Contrapartes.</t>
  </si>
  <si>
    <t>LAFT19</t>
  </si>
  <si>
    <t>Explotación de JSA - Control Inspección y Fiscalización - Gestión de Talento Humano - Gestión Jurídica</t>
  </si>
  <si>
    <t>Posibilidad de que los distribuidores y gestores de la Lotería de Bogotá realicen el pago y/o entrega de un premio en dinero o en especie, sin aplicar los protocolos de consulta en las listas vinculantes y de control.</t>
  </si>
  <si>
    <t>Posibilidad de tener vínculo contractual con contrapartes que aparezcan en listas vinculantes y de control LA/FT/FPADM en la revisión periódica-masiva de éstas.</t>
  </si>
  <si>
    <t xml:space="preserve">Posibilidad de que un ganador del premio de la lotería venda o realice algun tipo de negociación con un tercero, para transferir la propiedad del billete de lotería con la finalidad de realizar una operación de LA/FT/FPADM. </t>
  </si>
  <si>
    <t xml:space="preserve">Posibilidad de pérdida y/o extracción de información relacionada con las bases de datos de la Lotería, que pueda ser utilizada por terceros para realizar actividades de LA/FT/FPADM. </t>
  </si>
  <si>
    <t>Posibilidad de ofrecimientos de dinero o dádivas a colaboradores de la Lotería para entregar, manipular, extraer, cambiar o transferir información de entidad o de sus clientes a terceros no vinculados a la Entidad con el proposito de realizar operaciones y/o actividades relacionadas con el riesgo LA/FT/FPADM.</t>
  </si>
  <si>
    <t>Posibilidad de tener algún tipo de vínculo contractual con Personas Expuestas Políticamente (PEP) que se puedan aprovechar de su condición para realizar actividades de LA/FT/FPADM. (No es problemático tener esta relación contractual, el problema está en desconocerla)</t>
  </si>
  <si>
    <t>Posibilidad de tener vínculo contractual con contrapartes internas y externas sobre los que se ha emitido información negativa en medios de comunicación, están o han estado incluídos en procesos judiciales o administrativos por delitos relacionados con LA/FT/FPADM, que puedan permear a la Lotería de Bogotá</t>
  </si>
  <si>
    <t>Posibilidad de pagar premios a usuarios y/o clientes en la página web de la Lotería o de manera tradicional, sin verificar la identidad del ganador y/o que este relacionado en actividades de LA/FT/FPADM.</t>
  </si>
  <si>
    <t>Verificar al momento de la vinculación el correcto y completo diligenciamiento del formato FRO330-532 Vinculación Persona Jurídica, FRO330-533 Vinculación Persona Natural, FRO105-474 Declaración de Aceptación y Conocimiento de las Políticas Anticorrupción y Gestión Antisoborno y FRO105-475 Seguimiento Código de Integridad y Ética. Adicionalmente, verificar que la información diligenciada sea consistente con los demás documentos entregados.</t>
  </si>
  <si>
    <t>Diligenciar el formato "FRO105-514 Acuerdo de Confidencialidad" para todos los colaboradores de la Lotería.</t>
  </si>
  <si>
    <t>Realizar una capacitación al año en donde se explique en que consisten las señales de alerta, operaciones inusuales, operaciones sospechosas, tipologías y generalidades de Sistema de Administración de Riesgos de LA/FT/FPADM.  Adicionalmente, realizar diversas socializaciones al año por medios de difusión como correos electrónicos institucionales, grupo de  whatsapp de la entidad, cartetelas físicas de la entidad, entre otros.</t>
  </si>
  <si>
    <t>Posibilidad de no incluir en el Plan Estratégico de la Lotería, el tema de LA/FT/FPADM.</t>
  </si>
  <si>
    <t>Realizar los procesos de seguridad de la información implementados por la Oficina de Gestión Tecnológica e Innovación.</t>
  </si>
  <si>
    <t>Realizar una capacitación al año en donde se expliquen los temas de Tratamiento de Datos Personales y Seguridad de la Información.  Adicionalmente, realizar diversas socializaciones al año por medios de difusión como correos electrónicos institucionales, grupo de  whatsapp de la entidad, cartetelas físicas de la entidad, entre otros.</t>
  </si>
  <si>
    <t>Realizar capacitaciones y/u socializaciones a los posibles cientes por medio de campañas publicitarias de "Yo Juego Legal"</t>
  </si>
  <si>
    <t>Realizar una capacitación al año en donde se explique en que consisten las consultas en listas vinculantes y de control y generalidades de Sistema de Administración de Riesgos de LA/FT/FPADM. Adicionalmente, realizar diversas socializaciones al año por diferentes medios de difusión como correos electrónicos.</t>
  </si>
  <si>
    <t>Diligenciar el formato consulta en listas vinculantes y de control y remitirlo a la Lotería de Bogotá.</t>
  </si>
  <si>
    <t>Realizar consulta en listas vinculantes y de control por parte de la Lotería de Bogota para verificar la información suministrada por los distribuidores y los gestores.</t>
  </si>
  <si>
    <t>LB05</t>
  </si>
  <si>
    <t>LB07</t>
  </si>
  <si>
    <t>LB08</t>
  </si>
  <si>
    <t>LB11</t>
  </si>
  <si>
    <t>LB12</t>
  </si>
  <si>
    <t>LB13</t>
  </si>
  <si>
    <t>LB14</t>
  </si>
  <si>
    <t xml:space="preserve">                                                       1.Omisión o falla en la parametrización de señales de alerta y/o indicadores descriptivos y prospectivos para los Trabajadores Oficiales,  Trabajadores de Libre Nombramiento y Remoción y Contratistas</t>
  </si>
  <si>
    <t>Oficial de Cumplimiento Principal y/o Suplente</t>
  </si>
  <si>
    <t>Soportes de la capacitación.</t>
  </si>
  <si>
    <t>Consultar a todas las áreas de la entidad vía correo electrónico institucional y/o memorando interno por medio del SIGA si registra señales de alerta y/u operaciones inusuales e invitarlos a diligenciar el Formato "FRO105-513 Reportes al Oficial de Cumplimiento" de las alertas que se identifiquen por parte de todos los servidores públicos y contratistas.</t>
  </si>
  <si>
    <t>Atender las alertas diarias que envía el sistema SDQS sobre PQRS pendientes por gestionar, así como la matriz que envía Atención al Cliente de manera semanal y realizar revisión y seguimiento por parte del responsable de radicación de documentos referentes al LA/FT/FPADM.</t>
  </si>
  <si>
    <t>Atención al Cliente</t>
  </si>
  <si>
    <t>Secretaría General 
Talento Humano
Oficial de Cumplimiento Principal y/o Suplente</t>
  </si>
  <si>
    <t>Solicitar al Oficial de Cumplimiento vía memorando interno SIGA o correo electrónico institucional la Consulta en Listas Vinculantes y de Control (listas restrictivas), previo a cualquier tipo de relación contractual con personas naturales y/o personas jurídicas.</t>
  </si>
  <si>
    <t>Posibilidad de tener relaciones contractuales, legales, comerciales, alianzas o convenios con contrapartes relacionadas con delitos de LA/FT/FPADM y/o que se encuentren en listas vinculantes y de control LA/FT/FPADM.</t>
  </si>
  <si>
    <t>Soportes de la solicitud de consulta</t>
  </si>
  <si>
    <t>Unidad Financiera y Contable</t>
  </si>
  <si>
    <t>Realizar conciliaciones verificando saldos de cuentas en libros auxiliares y en el balance general de la Lotería de Bogotá.</t>
  </si>
  <si>
    <t>Realizar conciliaciones de recaudos de acuerdo a los archivos planos enviados por la Tesoreria.</t>
  </si>
  <si>
    <t>Unidad Financiera y Contable (Tesorería)</t>
  </si>
  <si>
    <t>Unidad Financiera y Contable (Cartera)</t>
  </si>
  <si>
    <t>Documento y/o formato firmado de origen de fondos</t>
  </si>
  <si>
    <t>Crear y verificar el diligenciamiento de un formato, clausula de los contratos, convenios, o en algún tipo de documento en donde se registre que la contraparte utiliza dineros de carácter lícito, tanto de entrada como de salida de su negocio (Origen de Fondos).</t>
  </si>
  <si>
    <t>Soportes del formato debidamente diligenciado</t>
  </si>
  <si>
    <t>Seguimiento a los formatos FRO330-532 Vinculación Persona Jurídica, FRO330-533 Vinculación Persona Natural, para revisar si se identificó una Persona Políticamente Expuesta (PEP)</t>
  </si>
  <si>
    <t>Elaborar y enviar memorando a los Servidores Públicos y Contratistas identificados como PEP al interior de la entidad según el Decreto 830 de 2021, solicitando el diligenciamiento del Formato FRO105-546-1</t>
  </si>
  <si>
    <t>Realizar una capacitación al año en donde se explique en que consisten las Personas Políticamente Expuestas (PEP) y generalidades de Sistema de Administración de Riesgos de LA/FT/FPADM.  Adicionalmente, realizar diversas socializaciones al año por medios de difusión como correos electrónicos institucionales, grupo de  whatsapp de la entidad, cartetelas físicas de la entidad, entre otros.</t>
  </si>
  <si>
    <t>Área de Planeación Estratégica</t>
  </si>
  <si>
    <t>Constatar en redes sociales y medios de comunicación, si se publicaron noticias negativas relacionadas con LA/FT/FPADM que puedan permear a la Lotería de Bogotá</t>
  </si>
  <si>
    <t>Subgerencia General - Comunicaciones</t>
  </si>
  <si>
    <t>Realizar consulta en listas vinculantes y de control al momento de la vinculación y masiva una vez al año, en este se generan noticias en medios de comunicación públicos, procesos judiciales o administrativos.</t>
  </si>
  <si>
    <t>Oficial de Protección de Datos -
Oficina de Gestión Tecnológica e Innovación.</t>
  </si>
  <si>
    <t>Oficina de Gestión Tecnológica e Innovación.</t>
  </si>
  <si>
    <t>Unidad de Apuestas y Control de Juegos - 
Dirección de Operación de Productos y Comercialización</t>
  </si>
  <si>
    <t>Diligenciar el formulario de ganadores de premios emitido por la Unidad de Loterías FRO400-300 según los montos establecidos en el Acuerdo 574 de 2021 del CNJSA</t>
  </si>
  <si>
    <t>Dirección de Operación de Productos y Comercialización</t>
  </si>
  <si>
    <t>Solicitar al Oficial de Cumplimiento vía memorando interno SIGA o correo electrónico institucional la Consulta en Listas Vinculantes y de Control (listas restrictivas), previo a pago de premios según los montos registrados en el Acuerdo 574 del CNJSA.</t>
  </si>
  <si>
    <t>Publicidad y/o piezas gráficas</t>
  </si>
  <si>
    <t>Realizar consulta en listas vinculantes y de control de manera masiva como mínimo una vez al año.</t>
  </si>
  <si>
    <t>Verificar que el Formato "FRO105-513 Reportes al Oficial de Cumplimiento"se encuentre debidamente actualizado y levantar un acta de revisión.</t>
  </si>
  <si>
    <t>Verificar que la política de Atención a Solicitudes y Requerimientos de Información por Parte de las Autoridades Competentes y Entes Externos, se encuentre debidamente actualizada  y levantar un acta de revisión.</t>
  </si>
  <si>
    <t>Verificar que la política y procedimiento de Conocimiento de Contrapartes y Consultas en Listas Vinculantes y de Control (Listas Restrictivas) se encuentren debidamente actualizados  y levantar un acta de revisión.</t>
  </si>
  <si>
    <t>Verificar que las políticas y procedimientos de Conocimiento de Contrapartes se encuentren debidamente actualizados y levantar un acta de revisión.</t>
  </si>
  <si>
    <t>Verificar en el mapa de procesos de la Lotería de Bogotá que se encuentre incluido el tema del Sistema de Administración de Riesgos de Lavado de Activos, Financiación del Terrorismo y Proliferación de Armas de Destrucción Masiva LA/FT/FPADM.</t>
  </si>
  <si>
    <t>Realizar revisión de los usuarios registrados en la página web de la entidad, para verificar si la información inscrita es correcta y válida.</t>
  </si>
  <si>
    <t>Posibilidad de que los ganadores de premios de la Lotería de Bogotá realicen cobros del premio de manera fraccionada.</t>
  </si>
  <si>
    <t>Solicitar al Oficial de Cumplimiento vía memorando interno SIGA o correo electrónico institucional la Consulta en Listas Vinculantes y de Control (listas restrictivas), previo al pago del premio.</t>
  </si>
  <si>
    <t>Verificar en las bases de datos de ganadores de premios, si el mismo ganador ya ha cobrado francciones anteriormente.</t>
  </si>
  <si>
    <t>LB15</t>
  </si>
  <si>
    <t>VERSIÓN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</si>
</sst>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_(* #,##0.00_);_(* \(#,##0.00\);_(* &quot;-&quot;??_);_(@_)"/>
    <numFmt numFmtId="165" formatCode="0.000"/>
    <numFmt numFmtId="166" formatCode="0.000000"/>
    <numFmt numFmtId="167" formatCode="0.0"/>
  </numFmts>
  <fonts count="35" x14ac:knownFonts="1">
    <font>
      <sz val="11"/>
      <color theme="1"/>
      <name val="Calibri"/>
      <family val="2"/>
      <scheme val="minor"/>
    </font>
    <font>
      <sz val="10"/>
      <name val="Arial"/>
      <family val="2"/>
    </font>
    <font>
      <b/>
      <sz val="11"/>
      <color theme="1"/>
      <name val="Calibri"/>
      <family val="2"/>
      <scheme val="minor"/>
    </font>
    <font>
      <sz val="11"/>
      <color theme="1"/>
      <name val="Calibri"/>
      <family val="2"/>
      <scheme val="minor"/>
    </font>
    <font>
      <b/>
      <sz val="10"/>
      <name val="Calibri"/>
      <family val="2"/>
      <scheme val="minor"/>
    </font>
    <font>
      <sz val="10"/>
      <name val="Calibri"/>
      <family val="2"/>
      <scheme val="minor"/>
    </font>
    <font>
      <sz val="10"/>
      <color theme="1"/>
      <name val="Calibri"/>
      <family val="2"/>
      <scheme val="minor"/>
    </font>
    <font>
      <b/>
      <sz val="10"/>
      <color theme="0"/>
      <name val="Calibri"/>
      <family val="2"/>
      <scheme val="minor"/>
    </font>
    <font>
      <sz val="10"/>
      <color indexed="64"/>
      <name val="Arial"/>
      <family val="2"/>
    </font>
    <font>
      <b/>
      <sz val="14"/>
      <color theme="0"/>
      <name val="Candara"/>
      <family val="2"/>
    </font>
    <font>
      <b/>
      <sz val="12"/>
      <color theme="0"/>
      <name val="Candara"/>
      <family val="2"/>
    </font>
    <font>
      <b/>
      <sz val="18"/>
      <color theme="0"/>
      <name val="Candara"/>
      <family val="2"/>
    </font>
    <font>
      <b/>
      <sz val="18"/>
      <name val="Candara"/>
      <family val="2"/>
    </font>
    <font>
      <sz val="10"/>
      <color theme="1"/>
      <name val="Arial"/>
      <family val="2"/>
    </font>
    <font>
      <sz val="8"/>
      <color theme="1"/>
      <name val="Calibri"/>
      <family val="2"/>
      <scheme val="minor"/>
    </font>
    <font>
      <sz val="11"/>
      <name val="Calibri"/>
      <family val="2"/>
      <scheme val="minor"/>
    </font>
    <font>
      <sz val="11"/>
      <color theme="0"/>
      <name val="Calibri"/>
      <family val="2"/>
      <scheme val="minor"/>
    </font>
    <font>
      <sz val="14"/>
      <color theme="1"/>
      <name val="Candara"/>
      <family val="2"/>
    </font>
    <font>
      <b/>
      <sz val="14"/>
      <color theme="1"/>
      <name val="Candara"/>
      <family val="2"/>
    </font>
    <font>
      <sz val="12"/>
      <color theme="1" tint="0.499984740745262"/>
      <name val="Candara"/>
      <family val="2"/>
    </font>
    <font>
      <b/>
      <sz val="12"/>
      <color theme="1" tint="0.499984740745262"/>
      <name val="Candara"/>
      <family val="2"/>
    </font>
    <font>
      <b/>
      <sz val="10"/>
      <color theme="0"/>
      <name val="Candara"/>
      <family val="2"/>
    </font>
    <font>
      <b/>
      <sz val="10"/>
      <color theme="1"/>
      <name val="Calibri"/>
      <family val="2"/>
      <scheme val="minor"/>
    </font>
    <font>
      <sz val="12"/>
      <name val="Calibri"/>
      <family val="2"/>
      <scheme val="minor"/>
    </font>
    <font>
      <b/>
      <sz val="11"/>
      <color theme="0"/>
      <name val="Calibri"/>
      <family val="2"/>
      <scheme val="minor"/>
    </font>
    <font>
      <b/>
      <sz val="11"/>
      <name val="Calibri"/>
      <family val="2"/>
      <scheme val="minor"/>
    </font>
    <font>
      <sz val="12"/>
      <color rgb="FF808080"/>
      <name val="Candara"/>
      <family val="2"/>
    </font>
    <font>
      <sz val="8"/>
      <name val="Calibri"/>
      <family val="2"/>
      <scheme val="minor"/>
    </font>
    <font>
      <sz val="11"/>
      <color rgb="FFFF0000"/>
      <name val="Calibri"/>
      <family val="2"/>
      <scheme val="minor"/>
    </font>
    <font>
      <b/>
      <sz val="10"/>
      <color theme="0"/>
      <name val="Arial"/>
      <family val="2"/>
    </font>
    <font>
      <sz val="9"/>
      <color rgb="FF000000"/>
      <name val="Calibri"/>
      <family val="2"/>
      <scheme val="minor"/>
    </font>
    <font>
      <b/>
      <sz val="12"/>
      <color theme="0"/>
      <name val="Calibri"/>
      <family val="2"/>
      <scheme val="minor"/>
    </font>
    <font>
      <b/>
      <sz val="12"/>
      <name val="Candara"/>
      <family val="2"/>
    </font>
    <font>
      <b/>
      <sz val="12"/>
      <color theme="1"/>
      <name val="Candara"/>
      <family val="2"/>
    </font>
    <font>
      <b/>
      <sz val="14"/>
      <name val="Candara"/>
      <family val="2"/>
    </font>
  </fonts>
  <fills count="22">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rgb="FFFFC000"/>
        <bgColor indexed="64"/>
      </patternFill>
    </fill>
    <fill>
      <patternFill patternType="solid">
        <fgColor rgb="FFFF0000"/>
        <bgColor indexed="64"/>
      </patternFill>
    </fill>
    <fill>
      <patternFill patternType="solid">
        <fgColor rgb="FF33CC33"/>
        <bgColor indexed="64"/>
      </patternFill>
    </fill>
    <fill>
      <patternFill patternType="solid">
        <fgColor theme="0"/>
        <bgColor indexed="64"/>
      </patternFill>
    </fill>
    <fill>
      <patternFill patternType="solid">
        <fgColor theme="3" tint="0.79998168889431442"/>
        <bgColor indexed="64"/>
      </patternFill>
    </fill>
    <fill>
      <patternFill patternType="solid">
        <fgColor theme="3" tint="0.59999389629810485"/>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indexed="22"/>
        <bgColor indexed="64"/>
      </patternFill>
    </fill>
    <fill>
      <patternFill patternType="solid">
        <fgColor rgb="FF99CC00"/>
        <bgColor indexed="64"/>
      </patternFill>
    </fill>
    <fill>
      <patternFill patternType="solid">
        <fgColor theme="5" tint="0.59999389629810485"/>
        <bgColor indexed="64"/>
      </patternFill>
    </fill>
    <fill>
      <patternFill patternType="solid">
        <fgColor theme="4" tint="0.59999389629810485"/>
        <bgColor indexed="64"/>
      </patternFill>
    </fill>
    <fill>
      <patternFill patternType="solid">
        <fgColor theme="3" tint="-0.249977111117893"/>
        <bgColor indexed="64"/>
      </patternFill>
    </fill>
    <fill>
      <patternFill patternType="solid">
        <fgColor rgb="FFED3338"/>
        <bgColor indexed="64"/>
      </patternFill>
    </fill>
    <fill>
      <patternFill patternType="solid">
        <fgColor rgb="FFEC3338"/>
        <bgColor indexed="64"/>
      </patternFill>
    </fill>
    <fill>
      <patternFill patternType="solid">
        <fgColor rgb="FF980B27"/>
        <bgColor indexed="64"/>
      </patternFill>
    </fill>
    <fill>
      <patternFill patternType="solid">
        <fgColor theme="6"/>
        <bgColor indexed="64"/>
      </patternFill>
    </fill>
    <fill>
      <patternFill patternType="solid">
        <fgColor rgb="FF00B050"/>
        <bgColor indexed="64"/>
      </patternFill>
    </fill>
  </fills>
  <borders count="32">
    <border>
      <left/>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style="hair">
        <color indexed="64"/>
      </right>
      <top/>
      <bottom/>
      <diagonal/>
    </border>
    <border>
      <left style="hair">
        <color indexed="64"/>
      </left>
      <right/>
      <top style="hair">
        <color indexed="64"/>
      </top>
      <bottom/>
      <diagonal/>
    </border>
    <border>
      <left style="hair">
        <color indexed="64"/>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right/>
      <top style="thin">
        <color theme="0" tint="-0.24994659260841701"/>
      </top>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diagonal/>
    </border>
    <border>
      <left style="double">
        <color theme="0" tint="-0.24994659260841701"/>
      </left>
      <right style="double">
        <color theme="0" tint="-0.24994659260841701"/>
      </right>
      <top style="double">
        <color theme="0" tint="-0.24994659260841701"/>
      </top>
      <bottom style="double">
        <color theme="0" tint="-0.24994659260841701"/>
      </bottom>
      <diagonal/>
    </border>
    <border>
      <left style="double">
        <color theme="0" tint="-0.24994659260841701"/>
      </left>
      <right style="double">
        <color theme="0" tint="-0.24994659260841701"/>
      </right>
      <top style="double">
        <color theme="0" tint="-0.24994659260841701"/>
      </top>
      <bottom style="double">
        <color indexed="64"/>
      </bottom>
      <diagonal/>
    </border>
    <border>
      <left style="double">
        <color theme="0" tint="-0.24994659260841701"/>
      </left>
      <right/>
      <top style="double">
        <color theme="0" tint="-0.24994659260841701"/>
      </top>
      <bottom style="double">
        <color theme="0" tint="-0.24994659260841701"/>
      </bottom>
      <diagonal/>
    </border>
    <border>
      <left/>
      <right style="double">
        <color theme="0" tint="-0.24994659260841701"/>
      </right>
      <top style="double">
        <color theme="0" tint="-0.24994659260841701"/>
      </top>
      <bottom style="double">
        <color theme="0" tint="-0.24994659260841701"/>
      </bottom>
      <diagonal/>
    </border>
    <border>
      <left style="double">
        <color theme="0" tint="-0.24994659260841701"/>
      </left>
      <right style="double">
        <color theme="0" tint="-0.24994659260841701"/>
      </right>
      <top style="double">
        <color indexed="64"/>
      </top>
      <bottom/>
      <diagonal/>
    </border>
    <border>
      <left style="thin">
        <color theme="0" tint="-0.24994659260841701"/>
      </left>
      <right style="thin">
        <color theme="0" tint="-0.24994659260841701"/>
      </right>
      <top/>
      <bottom/>
      <diagonal/>
    </border>
    <border>
      <left style="double">
        <color theme="0" tint="-0.24994659260841701"/>
      </left>
      <right style="double">
        <color theme="0" tint="-0.24994659260841701"/>
      </right>
      <top style="double">
        <color theme="0" tint="-0.24994659260841701"/>
      </top>
      <bottom/>
      <diagonal/>
    </border>
    <border>
      <left style="thin">
        <color theme="0" tint="-0.24994659260841701"/>
      </left>
      <right/>
      <top/>
      <bottom style="thin">
        <color theme="0" tint="-0.24994659260841701"/>
      </bottom>
      <diagonal/>
    </border>
    <border>
      <left/>
      <right style="thin">
        <color theme="0" tint="-0.24994659260841701"/>
      </right>
      <top/>
      <bottom style="thin">
        <color theme="0" tint="-0.24994659260841701"/>
      </bottom>
      <diagonal/>
    </border>
    <border>
      <left/>
      <right style="thin">
        <color theme="0" tint="-0.24994659260841701"/>
      </right>
      <top style="thin">
        <color theme="0" tint="-0.24994659260841701"/>
      </top>
      <bottom/>
      <diagonal/>
    </border>
    <border>
      <left/>
      <right/>
      <top/>
      <bottom style="thin">
        <color theme="0" tint="-0.24994659260841701"/>
      </bottom>
      <diagonal/>
    </border>
    <border>
      <left style="thin">
        <color theme="0" tint="-0.24994659260841701"/>
      </left>
      <right/>
      <top style="thin">
        <color theme="0" tint="-0.24994659260841701"/>
      </top>
      <bottom/>
      <diagonal/>
    </border>
    <border>
      <left style="thin">
        <color theme="0" tint="-0.34998626667073579"/>
      </left>
      <right/>
      <top style="thin">
        <color theme="0" tint="-0.34998626667073579"/>
      </top>
      <bottom style="thin">
        <color theme="0" tint="-0.24994659260841701"/>
      </bottom>
      <diagonal/>
    </border>
    <border>
      <left/>
      <right/>
      <top style="thin">
        <color theme="0" tint="-0.34998626667073579"/>
      </top>
      <bottom style="thin">
        <color theme="0" tint="-0.24994659260841701"/>
      </bottom>
      <diagonal/>
    </border>
    <border>
      <left/>
      <right/>
      <top style="thin">
        <color theme="0" tint="-0.34998626667073579"/>
      </top>
      <bottom style="thin">
        <color theme="0" tint="-0.34998626667073579"/>
      </bottom>
      <diagonal/>
    </border>
  </borders>
  <cellStyleXfs count="8">
    <xf numFmtId="0" fontId="0" fillId="0" borderId="0"/>
    <xf numFmtId="0" fontId="1" fillId="0" borderId="0"/>
    <xf numFmtId="0" fontId="3" fillId="0" borderId="0"/>
    <xf numFmtId="9" fontId="1" fillId="0" borderId="0" applyFont="0" applyFill="0" applyBorder="0" applyAlignment="0" applyProtection="0"/>
    <xf numFmtId="164" fontId="8" fillId="0" borderId="0" applyFont="0" applyFill="0" applyBorder="0" applyAlignment="0" applyProtection="0"/>
    <xf numFmtId="0" fontId="3" fillId="0" borderId="0"/>
    <xf numFmtId="0" fontId="1" fillId="0" borderId="0"/>
    <xf numFmtId="164" fontId="3" fillId="0" borderId="0" applyFont="0" applyFill="0" applyBorder="0" applyAlignment="0" applyProtection="0"/>
  </cellStyleXfs>
  <cellXfs count="237">
    <xf numFmtId="0" fontId="0" fillId="0" borderId="0" xfId="0"/>
    <xf numFmtId="0" fontId="0" fillId="0" borderId="0" xfId="0" applyAlignment="1">
      <alignment horizontal="center"/>
    </xf>
    <xf numFmtId="0" fontId="6" fillId="7" borderId="0" xfId="0" applyFont="1" applyFill="1" applyAlignment="1">
      <alignment horizontal="center" vertical="center" wrapText="1"/>
    </xf>
    <xf numFmtId="0" fontId="6" fillId="7" borderId="0" xfId="0" applyFont="1" applyFill="1"/>
    <xf numFmtId="0" fontId="6" fillId="7" borderId="0" xfId="0" applyFont="1" applyFill="1" applyAlignment="1">
      <alignment horizontal="center" vertical="center"/>
    </xf>
    <xf numFmtId="0" fontId="2" fillId="0" borderId="0" xfId="0" applyFont="1"/>
    <xf numFmtId="0" fontId="5" fillId="7" borderId="0" xfId="0" applyFont="1" applyFill="1" applyAlignment="1">
      <alignment horizontal="center" vertical="center" wrapText="1"/>
    </xf>
    <xf numFmtId="0" fontId="2" fillId="9" borderId="1" xfId="0" applyFont="1" applyFill="1" applyBorder="1"/>
    <xf numFmtId="0" fontId="0" fillId="0" borderId="1" xfId="0" applyBorder="1"/>
    <xf numFmtId="0" fontId="2" fillId="9" borderId="2" xfId="0" applyFont="1" applyFill="1" applyBorder="1"/>
    <xf numFmtId="0" fontId="0" fillId="0" borderId="3" xfId="0" applyBorder="1"/>
    <xf numFmtId="0" fontId="0" fillId="0" borderId="4" xfId="0" applyBorder="1"/>
    <xf numFmtId="0" fontId="0" fillId="0" borderId="7" xfId="0" applyBorder="1"/>
    <xf numFmtId="0" fontId="0" fillId="0" borderId="5" xfId="0" applyBorder="1" applyAlignment="1">
      <alignment vertical="center"/>
    </xf>
    <xf numFmtId="0" fontId="14" fillId="0" borderId="0" xfId="0" applyFont="1"/>
    <xf numFmtId="0" fontId="15" fillId="0" borderId="0" xfId="0" applyFont="1"/>
    <xf numFmtId="0" fontId="4" fillId="7" borderId="0" xfId="0" applyFont="1" applyFill="1" applyAlignment="1">
      <alignment horizontal="center" vertical="center" wrapText="1"/>
    </xf>
    <xf numFmtId="0" fontId="19" fillId="0" borderId="0" xfId="0" applyFont="1" applyAlignment="1">
      <alignment horizontal="left"/>
    </xf>
    <xf numFmtId="0" fontId="0" fillId="0" borderId="0" xfId="0" applyAlignment="1">
      <alignment horizontal="center" vertical="center"/>
    </xf>
    <xf numFmtId="166" fontId="0" fillId="0" borderId="0" xfId="0" applyNumberFormat="1"/>
    <xf numFmtId="0" fontId="17" fillId="0" borderId="0" xfId="0" applyFont="1" applyAlignment="1">
      <alignment vertical="center" wrapText="1"/>
    </xf>
    <xf numFmtId="0" fontId="5" fillId="7" borderId="0" xfId="0" applyFont="1" applyFill="1"/>
    <xf numFmtId="0" fontId="4" fillId="7" borderId="0" xfId="0" applyFont="1" applyFill="1" applyAlignment="1">
      <alignment horizontal="center"/>
    </xf>
    <xf numFmtId="0" fontId="5" fillId="7" borderId="0" xfId="0" applyFont="1" applyFill="1" applyAlignment="1">
      <alignment horizontal="center"/>
    </xf>
    <xf numFmtId="0" fontId="16" fillId="0" borderId="0" xfId="0" applyFont="1"/>
    <xf numFmtId="0" fontId="6" fillId="0" borderId="0" xfId="0" applyFont="1" applyAlignment="1">
      <alignment horizontal="center" vertical="center"/>
    </xf>
    <xf numFmtId="0" fontId="6" fillId="0" borderId="0" xfId="0" applyFont="1"/>
    <xf numFmtId="0" fontId="6" fillId="0" borderId="0" xfId="0" applyFont="1" applyAlignment="1">
      <alignment horizontal="center"/>
    </xf>
    <xf numFmtId="0" fontId="6" fillId="0" borderId="0" xfId="0" applyFont="1" applyAlignment="1">
      <alignment vertical="center"/>
    </xf>
    <xf numFmtId="0" fontId="15" fillId="0" borderId="0" xfId="0" applyFont="1" applyAlignment="1">
      <alignment vertical="center"/>
    </xf>
    <xf numFmtId="0" fontId="5" fillId="7" borderId="0" xfId="0" applyFont="1" applyFill="1" applyAlignment="1">
      <alignment vertical="center"/>
    </xf>
    <xf numFmtId="0" fontId="15" fillId="0" borderId="0" xfId="0" applyFont="1" applyAlignment="1">
      <alignment horizontal="center" vertical="center"/>
    </xf>
    <xf numFmtId="0" fontId="15" fillId="0" borderId="10" xfId="0" applyFont="1" applyBorder="1" applyAlignment="1">
      <alignment vertical="center"/>
    </xf>
    <xf numFmtId="165" fontId="5" fillId="7" borderId="10" xfId="0" applyNumberFormat="1" applyFont="1" applyFill="1" applyBorder="1" applyAlignment="1">
      <alignment horizontal="center" vertical="center"/>
    </xf>
    <xf numFmtId="0" fontId="25" fillId="7" borderId="0" xfId="0" applyFont="1" applyFill="1" applyAlignment="1">
      <alignment horizontal="center"/>
    </xf>
    <xf numFmtId="0" fontId="0" fillId="0" borderId="0" xfId="0" applyAlignment="1">
      <alignment vertical="center"/>
    </xf>
    <xf numFmtId="0" fontId="2" fillId="0" borderId="0" xfId="0" applyFont="1" applyAlignment="1">
      <alignment horizontal="center" vertical="center"/>
    </xf>
    <xf numFmtId="0" fontId="24" fillId="0" borderId="0" xfId="0" applyFont="1"/>
    <xf numFmtId="0" fontId="19" fillId="0" borderId="0" xfId="0" applyFont="1" applyAlignment="1">
      <alignment vertical="top" wrapText="1"/>
    </xf>
    <xf numFmtId="0" fontId="19" fillId="0" borderId="0" xfId="0" applyFont="1" applyAlignment="1">
      <alignment wrapText="1"/>
    </xf>
    <xf numFmtId="0" fontId="26" fillId="0" borderId="0" xfId="0" applyFont="1" applyAlignment="1">
      <alignment horizontal="right"/>
    </xf>
    <xf numFmtId="0" fontId="26" fillId="0" borderId="0" xfId="0" applyFont="1" applyAlignment="1">
      <alignment horizontal="left"/>
    </xf>
    <xf numFmtId="2" fontId="6" fillId="7" borderId="10" xfId="7" applyNumberFormat="1" applyFont="1" applyFill="1" applyBorder="1" applyAlignment="1">
      <alignment horizontal="center" vertical="center"/>
    </xf>
    <xf numFmtId="0" fontId="20" fillId="0" borderId="0" xfId="0" applyFont="1" applyAlignment="1">
      <alignment horizontal="left"/>
    </xf>
    <xf numFmtId="0" fontId="20" fillId="0" borderId="0" xfId="0" applyFont="1" applyAlignment="1">
      <alignment horizontal="left" vertical="top" wrapText="1"/>
    </xf>
    <xf numFmtId="0" fontId="20" fillId="0" borderId="0" xfId="0" applyFont="1" applyAlignment="1">
      <alignment horizontal="right" vertical="top" wrapText="1"/>
    </xf>
    <xf numFmtId="0" fontId="20" fillId="0" borderId="0" xfId="0" applyFont="1" applyAlignment="1">
      <alignment horizontal="right"/>
    </xf>
    <xf numFmtId="0" fontId="0" fillId="7" borderId="0" xfId="0" applyFill="1"/>
    <xf numFmtId="0" fontId="24" fillId="0" borderId="9" xfId="0" applyFont="1" applyBorder="1"/>
    <xf numFmtId="0" fontId="2" fillId="7" borderId="0" xfId="0" applyFont="1" applyFill="1"/>
    <xf numFmtId="0" fontId="0" fillId="7" borderId="0" xfId="0" applyFill="1" applyAlignment="1">
      <alignment horizontal="center"/>
    </xf>
    <xf numFmtId="0" fontId="25" fillId="15" borderId="10" xfId="0" applyFont="1" applyFill="1" applyBorder="1" applyAlignment="1">
      <alignment horizontal="center" vertical="center"/>
    </xf>
    <xf numFmtId="0" fontId="0" fillId="0" borderId="0" xfId="0" applyAlignment="1">
      <alignment horizontal="center" vertical="center" wrapText="1"/>
    </xf>
    <xf numFmtId="165" fontId="5" fillId="7" borderId="0" xfId="0" applyNumberFormat="1" applyFont="1" applyFill="1" applyAlignment="1">
      <alignment horizontal="center" vertical="center"/>
    </xf>
    <xf numFmtId="0" fontId="6" fillId="0" borderId="0" xfId="0" applyFont="1" applyAlignment="1">
      <alignment horizontal="center" vertical="center" wrapText="1"/>
    </xf>
    <xf numFmtId="0" fontId="6" fillId="0" borderId="0" xfId="0" applyFont="1" applyAlignment="1">
      <alignment horizontal="center" wrapText="1"/>
    </xf>
    <xf numFmtId="0" fontId="0" fillId="0" borderId="0" xfId="0" applyAlignment="1">
      <alignment horizontal="center" wrapText="1"/>
    </xf>
    <xf numFmtId="0" fontId="5" fillId="0" borderId="0" xfId="0" applyFont="1" applyAlignment="1">
      <alignment horizontal="left" vertical="center" wrapText="1"/>
    </xf>
    <xf numFmtId="0" fontId="22" fillId="0" borderId="0" xfId="0" applyFont="1" applyAlignment="1">
      <alignment vertical="center"/>
    </xf>
    <xf numFmtId="1" fontId="6" fillId="0" borderId="0" xfId="0" applyNumberFormat="1" applyFont="1"/>
    <xf numFmtId="0" fontId="0" fillId="16" borderId="0" xfId="0" applyFill="1"/>
    <xf numFmtId="2" fontId="0" fillId="0" borderId="0" xfId="0" applyNumberFormat="1"/>
    <xf numFmtId="0" fontId="9" fillId="0" borderId="0" xfId="0" applyFont="1" applyAlignment="1">
      <alignment horizontal="center" vertical="center"/>
    </xf>
    <xf numFmtId="0" fontId="29" fillId="0" borderId="0" xfId="0" applyFont="1" applyAlignment="1">
      <alignment horizontal="left"/>
    </xf>
    <xf numFmtId="0" fontId="29" fillId="0" borderId="0" xfId="0" applyFont="1" applyAlignment="1">
      <alignment horizontal="center"/>
    </xf>
    <xf numFmtId="0" fontId="13" fillId="0" borderId="0" xfId="0" applyFont="1" applyAlignment="1">
      <alignment vertical="center"/>
    </xf>
    <xf numFmtId="0" fontId="13" fillId="0" borderId="0" xfId="0" applyFont="1" applyAlignment="1">
      <alignment horizontal="center" vertical="center"/>
    </xf>
    <xf numFmtId="0" fontId="10" fillId="17" borderId="10" xfId="0" applyFont="1" applyFill="1" applyBorder="1" applyAlignment="1">
      <alignment horizontal="center" vertical="center" wrapText="1"/>
    </xf>
    <xf numFmtId="0" fontId="24" fillId="18" borderId="10" xfId="0" applyFont="1" applyFill="1" applyBorder="1" applyAlignment="1">
      <alignment horizontal="center" vertical="center" wrapText="1"/>
    </xf>
    <xf numFmtId="0" fontId="24" fillId="0" borderId="11" xfId="0" applyFont="1" applyBorder="1" applyAlignment="1">
      <alignment horizontal="center" vertical="center"/>
    </xf>
    <xf numFmtId="0" fontId="24" fillId="0" borderId="11" xfId="0" applyFont="1" applyBorder="1" applyAlignment="1">
      <alignment horizontal="center" vertical="center" wrapText="1"/>
    </xf>
    <xf numFmtId="0" fontId="13" fillId="0" borderId="0" xfId="0" applyFont="1"/>
    <xf numFmtId="0" fontId="13" fillId="0" borderId="0" xfId="0" applyFont="1" applyAlignment="1">
      <alignment horizontal="center"/>
    </xf>
    <xf numFmtId="0" fontId="6" fillId="0" borderId="10" xfId="0" applyFont="1" applyBorder="1" applyAlignment="1">
      <alignment horizontal="center" vertical="center"/>
    </xf>
    <xf numFmtId="0" fontId="5" fillId="0" borderId="10" xfId="0" applyFont="1" applyBorder="1" applyAlignment="1">
      <alignment horizontal="center" vertical="center" wrapText="1"/>
    </xf>
    <xf numFmtId="0" fontId="6" fillId="7" borderId="10" xfId="0" applyFont="1" applyFill="1" applyBorder="1" applyAlignment="1">
      <alignment horizontal="center" vertical="center" wrapText="1"/>
    </xf>
    <xf numFmtId="0" fontId="13" fillId="0" borderId="10" xfId="0" applyFont="1" applyBorder="1" applyAlignment="1">
      <alignment horizontal="center" vertical="center" wrapText="1"/>
    </xf>
    <xf numFmtId="0" fontId="13" fillId="0" borderId="10" xfId="0" applyFont="1" applyBorder="1" applyAlignment="1">
      <alignment horizontal="center" vertical="center"/>
    </xf>
    <xf numFmtId="0" fontId="23" fillId="5" borderId="10" xfId="0" applyFont="1" applyFill="1" applyBorder="1" applyAlignment="1">
      <alignment horizontal="center" vertical="center"/>
    </xf>
    <xf numFmtId="0" fontId="13" fillId="2" borderId="10" xfId="0" applyFont="1" applyFill="1" applyBorder="1" applyAlignment="1">
      <alignment horizontal="center" vertical="center" wrapText="1"/>
    </xf>
    <xf numFmtId="0" fontId="0" fillId="0" borderId="0" xfId="0" applyAlignment="1">
      <alignment vertical="center" wrapText="1"/>
    </xf>
    <xf numFmtId="2" fontId="6" fillId="7" borderId="10" xfId="0" applyNumberFormat="1" applyFont="1" applyFill="1" applyBorder="1" applyAlignment="1">
      <alignment horizontal="center" vertical="center" wrapText="1"/>
    </xf>
    <xf numFmtId="0" fontId="0" fillId="0" borderId="0" xfId="0" applyAlignment="1">
      <alignment horizontal="left" vertical="center" wrapText="1"/>
    </xf>
    <xf numFmtId="0" fontId="0" fillId="0" borderId="0" xfId="0" applyAlignment="1">
      <alignment horizontal="left" vertical="center"/>
    </xf>
    <xf numFmtId="0" fontId="15" fillId="0" borderId="0" xfId="0" applyFont="1" applyAlignment="1">
      <alignment horizontal="left" vertical="center"/>
    </xf>
    <xf numFmtId="0" fontId="7" fillId="17" borderId="10" xfId="0" applyFont="1" applyFill="1" applyBorder="1" applyAlignment="1">
      <alignment horizontal="center" vertical="center" wrapText="1"/>
    </xf>
    <xf numFmtId="9" fontId="7" fillId="17" borderId="10" xfId="0" applyNumberFormat="1" applyFont="1" applyFill="1" applyBorder="1" applyAlignment="1">
      <alignment horizontal="center" vertical="center" wrapText="1"/>
    </xf>
    <xf numFmtId="0" fontId="30" fillId="0" borderId="10" xfId="0" applyFont="1" applyBorder="1" applyAlignment="1">
      <alignment horizontal="center" vertical="center" wrapText="1"/>
    </xf>
    <xf numFmtId="0" fontId="0" fillId="0" borderId="12" xfId="0" applyBorder="1" applyAlignment="1">
      <alignment horizontal="center" vertical="center"/>
    </xf>
    <xf numFmtId="0" fontId="0" fillId="0" borderId="12" xfId="0" applyBorder="1" applyAlignment="1">
      <alignment vertical="center"/>
    </xf>
    <xf numFmtId="1" fontId="6" fillId="7" borderId="10" xfId="0" applyNumberFormat="1" applyFont="1" applyFill="1" applyBorder="1" applyAlignment="1">
      <alignment horizontal="center" vertical="center" wrapText="1"/>
    </xf>
    <xf numFmtId="2" fontId="6" fillId="0" borderId="10" xfId="0" applyNumberFormat="1" applyFont="1" applyBorder="1" applyAlignment="1">
      <alignment horizontal="center" vertical="center"/>
    </xf>
    <xf numFmtId="0" fontId="6" fillId="0" borderId="10" xfId="0" applyFont="1" applyBorder="1" applyAlignment="1">
      <alignment horizontal="center" vertical="center" wrapText="1"/>
    </xf>
    <xf numFmtId="0" fontId="0" fillId="0" borderId="10" xfId="0" applyBorder="1" applyAlignment="1">
      <alignment horizontal="center" vertical="center" wrapText="1"/>
    </xf>
    <xf numFmtId="0" fontId="10" fillId="19" borderId="10" xfId="0" applyFont="1" applyFill="1" applyBorder="1" applyAlignment="1">
      <alignment horizontal="center" vertical="center" wrapText="1"/>
    </xf>
    <xf numFmtId="0" fontId="0" fillId="0" borderId="0" xfId="0" quotePrefix="1" applyAlignment="1">
      <alignment horizontal="center" vertical="center"/>
    </xf>
    <xf numFmtId="0" fontId="6" fillId="0" borderId="10" xfId="2" applyFont="1" applyBorder="1" applyAlignment="1">
      <alignment horizontal="center" vertical="center"/>
    </xf>
    <xf numFmtId="0" fontId="7" fillId="18" borderId="17" xfId="1" applyFont="1" applyFill="1" applyBorder="1" applyAlignment="1">
      <alignment horizontal="center" vertical="center" wrapText="1"/>
    </xf>
    <xf numFmtId="0" fontId="6" fillId="0" borderId="17" xfId="0" applyFont="1" applyBorder="1" applyAlignment="1">
      <alignment vertical="center"/>
    </xf>
    <xf numFmtId="0" fontId="6" fillId="0" borderId="17" xfId="2" applyFont="1" applyBorder="1" applyAlignment="1">
      <alignment horizontal="center" vertical="center"/>
    </xf>
    <xf numFmtId="9" fontId="6" fillId="0" borderId="17" xfId="2" applyNumberFormat="1" applyFont="1" applyBorder="1" applyAlignment="1">
      <alignment horizontal="center" vertical="center"/>
    </xf>
    <xf numFmtId="9" fontId="6" fillId="0" borderId="17" xfId="3" applyFont="1" applyBorder="1" applyAlignment="1">
      <alignment horizontal="center" vertical="center"/>
    </xf>
    <xf numFmtId="0" fontId="7" fillId="19" borderId="10" xfId="1" applyFont="1" applyFill="1" applyBorder="1" applyAlignment="1">
      <alignment horizontal="center" vertical="center" wrapText="1"/>
    </xf>
    <xf numFmtId="0" fontId="22" fillId="8" borderId="10" xfId="1" applyFont="1" applyFill="1" applyBorder="1" applyAlignment="1">
      <alignment horizontal="center" vertical="center" wrapText="1"/>
    </xf>
    <xf numFmtId="0" fontId="22" fillId="11" borderId="10" xfId="1" applyFont="1" applyFill="1" applyBorder="1" applyAlignment="1">
      <alignment horizontal="center" vertical="center" wrapText="1"/>
    </xf>
    <xf numFmtId="0" fontId="6" fillId="0" borderId="10" xfId="0" applyFont="1" applyBorder="1" applyAlignment="1">
      <alignment horizontal="justify" vertical="center" wrapText="1"/>
    </xf>
    <xf numFmtId="0" fontId="5" fillId="0" borderId="10" xfId="0" applyFont="1" applyBorder="1" applyAlignment="1" applyProtection="1">
      <alignment horizontal="justify" vertical="center" wrapText="1"/>
      <protection locked="0"/>
    </xf>
    <xf numFmtId="0" fontId="5" fillId="0" borderId="10" xfId="0" applyFont="1" applyBorder="1" applyAlignment="1" applyProtection="1">
      <alignment horizontal="center" vertical="center" wrapText="1"/>
      <protection locked="0"/>
    </xf>
    <xf numFmtId="0" fontId="5" fillId="7" borderId="10" xfId="0" applyFont="1" applyFill="1" applyBorder="1" applyAlignment="1" applyProtection="1">
      <alignment horizontal="center" vertical="center" wrapText="1"/>
      <protection locked="0"/>
    </xf>
    <xf numFmtId="0" fontId="5" fillId="7" borderId="10" xfId="0" applyFont="1" applyFill="1" applyBorder="1" applyAlignment="1" applyProtection="1">
      <alignment horizontal="justify" vertical="center" wrapText="1"/>
      <protection locked="0"/>
    </xf>
    <xf numFmtId="0" fontId="5" fillId="0" borderId="10" xfId="1" applyFont="1" applyBorder="1" applyAlignment="1">
      <alignment horizontal="center" vertical="center" wrapText="1"/>
    </xf>
    <xf numFmtId="1" fontId="4" fillId="12" borderId="10" xfId="1" applyNumberFormat="1" applyFont="1" applyFill="1" applyBorder="1" applyAlignment="1">
      <alignment horizontal="center" vertical="center"/>
    </xf>
    <xf numFmtId="0" fontId="5" fillId="0" borderId="10" xfId="1" applyFont="1" applyBorder="1" applyAlignment="1">
      <alignment horizontal="center" vertical="center"/>
    </xf>
    <xf numFmtId="0" fontId="4" fillId="12" borderId="10" xfId="1" applyFont="1" applyFill="1" applyBorder="1" applyAlignment="1">
      <alignment horizontal="center" vertical="center" wrapText="1"/>
    </xf>
    <xf numFmtId="0" fontId="4" fillId="0" borderId="10" xfId="1" applyFont="1" applyBorder="1" applyAlignment="1">
      <alignment horizontal="center" vertical="center"/>
    </xf>
    <xf numFmtId="1" fontId="4" fillId="0" borderId="10" xfId="1" applyNumberFormat="1" applyFont="1" applyBorder="1" applyAlignment="1">
      <alignment horizontal="center" vertical="center"/>
    </xf>
    <xf numFmtId="0" fontId="6" fillId="5" borderId="10" xfId="2" applyFont="1" applyFill="1" applyBorder="1" applyAlignment="1">
      <alignment horizontal="center" vertical="center"/>
    </xf>
    <xf numFmtId="0" fontId="6" fillId="4" borderId="10" xfId="2" applyFont="1" applyFill="1" applyBorder="1" applyAlignment="1">
      <alignment horizontal="center" vertical="center"/>
    </xf>
    <xf numFmtId="0" fontId="6" fillId="14" borderId="10" xfId="2" applyFont="1" applyFill="1" applyBorder="1" applyAlignment="1">
      <alignment horizontal="center" vertical="center"/>
    </xf>
    <xf numFmtId="0" fontId="6" fillId="13" borderId="10" xfId="2" applyFont="1" applyFill="1" applyBorder="1" applyAlignment="1">
      <alignment horizontal="center" vertical="center"/>
    </xf>
    <xf numFmtId="0" fontId="10" fillId="17" borderId="10" xfId="0" applyFont="1" applyFill="1" applyBorder="1" applyAlignment="1" applyProtection="1">
      <alignment horizontal="center" vertical="center" wrapText="1"/>
      <protection locked="0"/>
    </xf>
    <xf numFmtId="1" fontId="5" fillId="7" borderId="10" xfId="0" applyNumberFormat="1" applyFont="1" applyFill="1" applyBorder="1" applyAlignment="1">
      <alignment horizontal="center" vertical="center" wrapText="1"/>
    </xf>
    <xf numFmtId="1" fontId="22" fillId="10" borderId="10" xfId="1" applyNumberFormat="1" applyFont="1" applyFill="1" applyBorder="1" applyAlignment="1">
      <alignment horizontal="center" vertical="center" wrapText="1"/>
    </xf>
    <xf numFmtId="0" fontId="23" fillId="0" borderId="10" xfId="0" applyFont="1" applyBorder="1" applyAlignment="1">
      <alignment horizontal="center" vertical="center" wrapText="1"/>
    </xf>
    <xf numFmtId="0" fontId="10" fillId="19" borderId="10" xfId="0" applyFont="1" applyFill="1" applyBorder="1" applyAlignment="1">
      <alignment vertical="center" wrapText="1"/>
    </xf>
    <xf numFmtId="0" fontId="10" fillId="19" borderId="10" xfId="0" applyFont="1" applyFill="1" applyBorder="1" applyAlignment="1">
      <alignment vertical="center" textRotation="90" wrapText="1"/>
    </xf>
    <xf numFmtId="2" fontId="0" fillId="0" borderId="0" xfId="0" applyNumberFormat="1" applyAlignment="1">
      <alignment horizontal="center" vertical="center"/>
    </xf>
    <xf numFmtId="0" fontId="7" fillId="18" borderId="23" xfId="1" applyFont="1" applyFill="1" applyBorder="1" applyAlignment="1">
      <alignment horizontal="center" vertical="center" wrapText="1"/>
    </xf>
    <xf numFmtId="9" fontId="6" fillId="0" borderId="10" xfId="0" applyNumberFormat="1" applyFont="1" applyBorder="1" applyAlignment="1">
      <alignment horizontal="center" vertical="center"/>
    </xf>
    <xf numFmtId="0" fontId="0" fillId="18" borderId="25" xfId="0" applyFill="1" applyBorder="1" applyAlignment="1">
      <alignment horizontal="center" vertical="center"/>
    </xf>
    <xf numFmtId="0" fontId="0" fillId="18" borderId="11" xfId="0" applyFill="1" applyBorder="1" applyAlignment="1">
      <alignment horizontal="center" vertical="center"/>
    </xf>
    <xf numFmtId="0" fontId="0" fillId="18" borderId="24" xfId="0" applyFill="1" applyBorder="1" applyAlignment="1">
      <alignment horizontal="center" vertical="center"/>
    </xf>
    <xf numFmtId="0" fontId="5" fillId="7" borderId="13" xfId="0" applyFont="1" applyFill="1" applyBorder="1" applyAlignment="1" applyProtection="1">
      <alignment horizontal="center" vertical="center" wrapText="1"/>
      <protection locked="0"/>
    </xf>
    <xf numFmtId="0" fontId="5" fillId="7" borderId="15" xfId="0" applyFont="1" applyFill="1" applyBorder="1" applyAlignment="1" applyProtection="1">
      <alignment horizontal="center" wrapText="1"/>
      <protection locked="0"/>
    </xf>
    <xf numFmtId="2" fontId="0" fillId="0" borderId="10" xfId="0" applyNumberFormat="1" applyBorder="1" applyAlignment="1">
      <alignment horizontal="center" vertical="center"/>
    </xf>
    <xf numFmtId="0" fontId="0" fillId="0" borderId="10" xfId="0" applyBorder="1" applyAlignment="1">
      <alignment vertical="center" wrapText="1"/>
    </xf>
    <xf numFmtId="1" fontId="0" fillId="0" borderId="10" xfId="0" applyNumberFormat="1" applyBorder="1" applyAlignment="1">
      <alignment horizontal="center" vertical="center" wrapText="1"/>
    </xf>
    <xf numFmtId="167" fontId="0" fillId="0" borderId="10" xfId="0" applyNumberFormat="1" applyBorder="1" applyAlignment="1">
      <alignment horizontal="center" vertical="center" wrapText="1"/>
    </xf>
    <xf numFmtId="0" fontId="23" fillId="5" borderId="13" xfId="0" applyFont="1" applyFill="1" applyBorder="1" applyAlignment="1">
      <alignment horizontal="center" vertical="center"/>
    </xf>
    <xf numFmtId="0" fontId="6" fillId="0" borderId="30" xfId="0" applyFont="1" applyBorder="1" applyAlignment="1">
      <alignment horizontal="center" vertical="top" wrapText="1"/>
    </xf>
    <xf numFmtId="0" fontId="6" fillId="7" borderId="31" xfId="0" applyFont="1" applyFill="1" applyBorder="1" applyAlignment="1">
      <alignment horizontal="center" vertical="center" wrapText="1"/>
    </xf>
    <xf numFmtId="0" fontId="0" fillId="7" borderId="0" xfId="0" applyFill="1" applyAlignment="1">
      <alignment horizontal="center" vertical="center" wrapText="1"/>
    </xf>
    <xf numFmtId="1" fontId="0" fillId="7" borderId="0" xfId="0" applyNumberFormat="1" applyFill="1" applyAlignment="1">
      <alignment horizontal="center" vertical="center" wrapText="1"/>
    </xf>
    <xf numFmtId="167" fontId="0" fillId="7" borderId="0" xfId="0" applyNumberFormat="1" applyFill="1" applyAlignment="1">
      <alignment horizontal="center" vertical="center" wrapText="1"/>
    </xf>
    <xf numFmtId="1" fontId="5" fillId="7" borderId="0" xfId="0" applyNumberFormat="1" applyFont="1" applyFill="1" applyAlignment="1">
      <alignment horizontal="center" vertical="center" wrapText="1"/>
    </xf>
    <xf numFmtId="1" fontId="22" fillId="7" borderId="0" xfId="1" applyNumberFormat="1" applyFont="1" applyFill="1" applyAlignment="1">
      <alignment horizontal="center" vertical="center" wrapText="1"/>
    </xf>
    <xf numFmtId="0" fontId="23" fillId="7" borderId="0" xfId="0" applyFont="1" applyFill="1" applyAlignment="1">
      <alignment horizontal="center" vertical="center" wrapText="1"/>
    </xf>
    <xf numFmtId="0" fontId="32" fillId="2" borderId="0" xfId="0" applyFont="1" applyFill="1" applyAlignment="1">
      <alignment horizontal="right"/>
    </xf>
    <xf numFmtId="0" fontId="32" fillId="2" borderId="0" xfId="0" applyFont="1" applyFill="1" applyAlignment="1">
      <alignment horizontal="left"/>
    </xf>
    <xf numFmtId="0" fontId="25" fillId="2" borderId="0" xfId="0" applyFont="1" applyFill="1"/>
    <xf numFmtId="0" fontId="6" fillId="7" borderId="0" xfId="0" applyFont="1" applyFill="1" applyAlignment="1">
      <alignment horizontal="center"/>
    </xf>
    <xf numFmtId="0" fontId="0" fillId="7" borderId="0" xfId="0" applyFill="1" applyAlignment="1">
      <alignment horizontal="left" vertical="center"/>
    </xf>
    <xf numFmtId="0" fontId="0" fillId="7" borderId="0" xfId="0" applyFill="1" applyAlignment="1">
      <alignment horizontal="left" vertical="center" wrapText="1"/>
    </xf>
    <xf numFmtId="0" fontId="6" fillId="0" borderId="29" xfId="0" applyFont="1" applyBorder="1" applyAlignment="1">
      <alignment horizontal="center" vertical="center" wrapText="1"/>
    </xf>
    <xf numFmtId="0" fontId="6" fillId="20" borderId="10" xfId="0" applyFont="1" applyFill="1" applyBorder="1" applyAlignment="1">
      <alignment horizontal="center" vertical="center" wrapText="1"/>
    </xf>
    <xf numFmtId="0" fontId="6" fillId="21" borderId="10" xfId="0" applyFont="1" applyFill="1" applyBorder="1" applyAlignment="1">
      <alignment horizontal="center" vertical="center"/>
    </xf>
    <xf numFmtId="0" fontId="6" fillId="3" borderId="10" xfId="0" applyFont="1" applyFill="1" applyBorder="1" applyAlignment="1">
      <alignment horizontal="center" vertical="center"/>
    </xf>
    <xf numFmtId="0" fontId="6" fillId="4" borderId="10" xfId="0" applyFont="1" applyFill="1" applyBorder="1" applyAlignment="1">
      <alignment horizontal="center" vertical="center"/>
    </xf>
    <xf numFmtId="0" fontId="6" fillId="5" borderId="10" xfId="0" applyFont="1" applyFill="1" applyBorder="1" applyAlignment="1">
      <alignment horizontal="center" vertical="center"/>
    </xf>
    <xf numFmtId="2" fontId="13" fillId="0" borderId="10" xfId="0" applyNumberFormat="1" applyFont="1" applyBorder="1" applyAlignment="1">
      <alignment horizontal="center" vertical="center"/>
    </xf>
    <xf numFmtId="0" fontId="6" fillId="0" borderId="13" xfId="0" applyFont="1" applyBorder="1" applyAlignment="1">
      <alignment horizontal="center" vertical="center" wrapText="1"/>
    </xf>
    <xf numFmtId="0" fontId="5" fillId="0" borderId="15" xfId="0" applyFont="1" applyBorder="1" applyAlignment="1">
      <alignment horizontal="center" vertical="center" wrapText="1"/>
    </xf>
    <xf numFmtId="0" fontId="6" fillId="7" borderId="16" xfId="0" applyFont="1" applyFill="1" applyBorder="1" applyAlignment="1">
      <alignment horizontal="center" vertical="center"/>
    </xf>
    <xf numFmtId="0" fontId="5" fillId="7" borderId="16" xfId="0" applyFont="1" applyFill="1" applyBorder="1" applyAlignment="1">
      <alignment horizontal="center" vertical="center"/>
    </xf>
    <xf numFmtId="1" fontId="6" fillId="0" borderId="0" xfId="0" applyNumberFormat="1" applyFont="1" applyAlignment="1">
      <alignment horizontal="center"/>
    </xf>
    <xf numFmtId="0" fontId="34" fillId="0" borderId="0" xfId="0" applyFont="1" applyAlignment="1">
      <alignment horizontal="center" vertical="center"/>
    </xf>
    <xf numFmtId="0" fontId="10" fillId="5" borderId="10" xfId="0" applyFont="1" applyFill="1" applyBorder="1" applyAlignment="1">
      <alignment horizontal="center" vertical="center"/>
    </xf>
    <xf numFmtId="0" fontId="6" fillId="0" borderId="10" xfId="0" applyFont="1" applyBorder="1" applyAlignment="1">
      <alignment horizontal="center" vertical="center" wrapText="1"/>
    </xf>
    <xf numFmtId="0" fontId="0" fillId="0" borderId="10" xfId="0" applyBorder="1" applyAlignment="1">
      <alignment horizontal="center" vertical="center" wrapText="1"/>
    </xf>
    <xf numFmtId="0" fontId="10" fillId="17" borderId="10" xfId="0" applyFont="1" applyFill="1" applyBorder="1" applyAlignment="1">
      <alignment horizontal="center" vertical="center" wrapText="1"/>
    </xf>
    <xf numFmtId="0" fontId="33" fillId="6" borderId="10" xfId="0" applyFont="1" applyFill="1" applyBorder="1" applyAlignment="1">
      <alignment horizontal="center" vertical="center"/>
    </xf>
    <xf numFmtId="0" fontId="33" fillId="3" borderId="10" xfId="0" applyFont="1" applyFill="1" applyBorder="1" applyAlignment="1">
      <alignment horizontal="center" vertical="center"/>
    </xf>
    <xf numFmtId="0" fontId="31" fillId="17" borderId="10" xfId="0" applyFont="1" applyFill="1" applyBorder="1" applyAlignment="1">
      <alignment horizontal="center" vertical="center" wrapText="1"/>
    </xf>
    <xf numFmtId="0" fontId="7" fillId="17" borderId="10" xfId="0" applyFont="1" applyFill="1" applyBorder="1" applyAlignment="1">
      <alignment horizontal="center" vertical="center" wrapText="1"/>
    </xf>
    <xf numFmtId="0" fontId="7" fillId="17" borderId="16" xfId="0" applyFont="1" applyFill="1" applyBorder="1" applyAlignment="1">
      <alignment horizontal="center" vertical="center" wrapText="1"/>
    </xf>
    <xf numFmtId="0" fontId="7" fillId="17" borderId="11" xfId="0" applyFont="1" applyFill="1" applyBorder="1" applyAlignment="1">
      <alignment horizontal="center" vertical="center" wrapText="1"/>
    </xf>
    <xf numFmtId="0" fontId="33" fillId="4" borderId="10" xfId="0" applyFont="1" applyFill="1" applyBorder="1" applyAlignment="1">
      <alignment horizontal="center" vertical="center"/>
    </xf>
    <xf numFmtId="0" fontId="6" fillId="0" borderId="13"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15" xfId="0" applyFont="1" applyBorder="1" applyAlignment="1">
      <alignment horizontal="center" vertical="center" wrapText="1"/>
    </xf>
    <xf numFmtId="0" fontId="0" fillId="0" borderId="12" xfId="0" applyBorder="1" applyAlignment="1">
      <alignment horizontal="center" vertical="center" wrapText="1"/>
    </xf>
    <xf numFmtId="0" fontId="7" fillId="17" borderId="13" xfId="0" applyFont="1" applyFill="1" applyBorder="1" applyAlignment="1">
      <alignment horizontal="center" vertical="center" wrapText="1"/>
    </xf>
    <xf numFmtId="0" fontId="7" fillId="17" borderId="14" xfId="0" applyFont="1" applyFill="1" applyBorder="1" applyAlignment="1">
      <alignment horizontal="center" vertical="center" wrapText="1"/>
    </xf>
    <xf numFmtId="0" fontId="7" fillId="17" borderId="15" xfId="0" applyFont="1" applyFill="1" applyBorder="1" applyAlignment="1">
      <alignment horizontal="center" vertical="center" wrapText="1"/>
    </xf>
    <xf numFmtId="0" fontId="7" fillId="17" borderId="13" xfId="0" applyFont="1" applyFill="1" applyBorder="1" applyAlignment="1">
      <alignment horizontal="center" vertical="center"/>
    </xf>
    <xf numFmtId="0" fontId="7" fillId="17" borderId="14" xfId="0" applyFont="1" applyFill="1" applyBorder="1" applyAlignment="1">
      <alignment horizontal="center" vertical="center"/>
    </xf>
    <xf numFmtId="0" fontId="7" fillId="17" borderId="15" xfId="0" applyFont="1" applyFill="1" applyBorder="1" applyAlignment="1">
      <alignment horizontal="center" vertical="center"/>
    </xf>
    <xf numFmtId="0" fontId="12" fillId="7" borderId="0" xfId="0" applyFont="1" applyFill="1" applyAlignment="1">
      <alignment horizontal="center" vertical="center"/>
    </xf>
    <xf numFmtId="0" fontId="10" fillId="19" borderId="10" xfId="0" applyFont="1" applyFill="1" applyBorder="1" applyAlignment="1">
      <alignment horizontal="center" vertical="center" wrapText="1"/>
    </xf>
    <xf numFmtId="0" fontId="10" fillId="19" borderId="10" xfId="0" applyFont="1" applyFill="1" applyBorder="1" applyAlignment="1">
      <alignment horizontal="center" vertical="center" textRotation="90" wrapText="1"/>
    </xf>
    <xf numFmtId="0" fontId="11" fillId="18" borderId="13" xfId="0" applyFont="1" applyFill="1" applyBorder="1" applyAlignment="1">
      <alignment horizontal="center" vertical="center"/>
    </xf>
    <xf numFmtId="0" fontId="11" fillId="18" borderId="14" xfId="0" applyFont="1" applyFill="1" applyBorder="1" applyAlignment="1">
      <alignment horizontal="center" vertical="center"/>
    </xf>
    <xf numFmtId="0" fontId="11" fillId="18" borderId="10" xfId="0" applyFont="1" applyFill="1" applyBorder="1" applyAlignment="1">
      <alignment horizontal="center" vertical="center"/>
    </xf>
    <xf numFmtId="0" fontId="11" fillId="18" borderId="0" xfId="0" applyFont="1" applyFill="1" applyAlignment="1">
      <alignment horizontal="center" vertical="center" wrapText="1"/>
    </xf>
    <xf numFmtId="0" fontId="10" fillId="19" borderId="13" xfId="0" applyFont="1" applyFill="1" applyBorder="1" applyAlignment="1">
      <alignment horizontal="center" vertical="center" wrapText="1"/>
    </xf>
    <xf numFmtId="0" fontId="28" fillId="0" borderId="0" xfId="0" applyFont="1" applyAlignment="1">
      <alignment horizontal="center"/>
    </xf>
    <xf numFmtId="0" fontId="5" fillId="0" borderId="15" xfId="0" applyFont="1" applyBorder="1" applyAlignment="1">
      <alignment horizontal="center" vertical="center" wrapText="1"/>
    </xf>
    <xf numFmtId="1" fontId="4" fillId="0" borderId="10" xfId="1" applyNumberFormat="1" applyFont="1" applyBorder="1" applyAlignment="1">
      <alignment horizontal="center" vertical="center"/>
    </xf>
    <xf numFmtId="0" fontId="4" fillId="0" borderId="10" xfId="1" applyFont="1" applyBorder="1" applyAlignment="1">
      <alignment horizontal="center" vertical="center"/>
    </xf>
    <xf numFmtId="1" fontId="4" fillId="0" borderId="16" xfId="1" applyNumberFormat="1" applyFont="1" applyBorder="1" applyAlignment="1">
      <alignment horizontal="center" vertical="center"/>
    </xf>
    <xf numFmtId="1" fontId="4" fillId="0" borderId="11" xfId="1" applyNumberFormat="1" applyFont="1" applyBorder="1" applyAlignment="1">
      <alignment horizontal="center" vertical="center"/>
    </xf>
    <xf numFmtId="0" fontId="4" fillId="0" borderId="16" xfId="1" applyFont="1" applyBorder="1" applyAlignment="1">
      <alignment horizontal="center" vertical="center"/>
    </xf>
    <xf numFmtId="0" fontId="4" fillId="0" borderId="11" xfId="1" applyFont="1" applyBorder="1" applyAlignment="1">
      <alignment horizontal="center" vertical="center"/>
    </xf>
    <xf numFmtId="0" fontId="7" fillId="19" borderId="10" xfId="1" applyFont="1" applyFill="1" applyBorder="1" applyAlignment="1">
      <alignment horizontal="center" vertical="center" wrapText="1"/>
    </xf>
    <xf numFmtId="0" fontId="7" fillId="18" borderId="10" xfId="1" applyFont="1" applyFill="1" applyBorder="1" applyAlignment="1">
      <alignment horizontal="center" vertical="center" wrapText="1"/>
    </xf>
    <xf numFmtId="0" fontId="7" fillId="19" borderId="10" xfId="0" applyFont="1" applyFill="1" applyBorder="1" applyAlignment="1">
      <alignment horizontal="center" vertical="center" wrapText="1"/>
    </xf>
    <xf numFmtId="0" fontId="7" fillId="19" borderId="10" xfId="0" applyFont="1" applyFill="1" applyBorder="1" applyAlignment="1" applyProtection="1">
      <alignment horizontal="center" vertical="center" wrapText="1"/>
      <protection locked="0"/>
    </xf>
    <xf numFmtId="0" fontId="7" fillId="18" borderId="10" xfId="0" applyFont="1" applyFill="1" applyBorder="1" applyAlignment="1">
      <alignment horizontal="center" vertical="center" wrapText="1"/>
    </xf>
    <xf numFmtId="0" fontId="7" fillId="19" borderId="16" xfId="0" applyFont="1" applyFill="1" applyBorder="1" applyAlignment="1">
      <alignment horizontal="center" vertical="center" wrapText="1"/>
    </xf>
    <xf numFmtId="0" fontId="7" fillId="19" borderId="16" xfId="0" applyFont="1" applyFill="1" applyBorder="1" applyAlignment="1" applyProtection="1">
      <alignment horizontal="center" vertical="center" wrapText="1"/>
      <protection locked="0"/>
    </xf>
    <xf numFmtId="0" fontId="7" fillId="18" borderId="17" xfId="1" applyFont="1" applyFill="1" applyBorder="1" applyAlignment="1">
      <alignment horizontal="center" vertical="center" wrapText="1"/>
    </xf>
    <xf numFmtId="0" fontId="7" fillId="18" borderId="19" xfId="1" applyFont="1" applyFill="1" applyBorder="1" applyAlignment="1">
      <alignment horizontal="center" vertical="center" wrapText="1"/>
    </xf>
    <xf numFmtId="0" fontId="7" fillId="18" borderId="20" xfId="1" applyFont="1" applyFill="1" applyBorder="1" applyAlignment="1">
      <alignment horizontal="center" vertical="center" wrapText="1"/>
    </xf>
    <xf numFmtId="0" fontId="7" fillId="18" borderId="18" xfId="1" applyFont="1" applyFill="1" applyBorder="1" applyAlignment="1">
      <alignment horizontal="center" vertical="center" wrapText="1"/>
    </xf>
    <xf numFmtId="0" fontId="7" fillId="18" borderId="21" xfId="1" applyFont="1" applyFill="1" applyBorder="1" applyAlignment="1">
      <alignment horizontal="center" vertical="center" wrapText="1"/>
    </xf>
    <xf numFmtId="0" fontId="6" fillId="7" borderId="10" xfId="0" applyFont="1" applyFill="1" applyBorder="1" applyAlignment="1">
      <alignment horizontal="center" vertical="center"/>
    </xf>
    <xf numFmtId="0" fontId="6" fillId="7" borderId="16" xfId="0" applyFont="1" applyFill="1" applyBorder="1" applyAlignment="1">
      <alignment horizontal="center" vertical="center"/>
    </xf>
    <xf numFmtId="0" fontId="6" fillId="7" borderId="22" xfId="0" applyFont="1" applyFill="1" applyBorder="1" applyAlignment="1">
      <alignment horizontal="center" vertical="center"/>
    </xf>
    <xf numFmtId="0" fontId="6" fillId="7" borderId="11" xfId="0" applyFont="1" applyFill="1" applyBorder="1" applyAlignment="1">
      <alignment horizontal="center" vertical="center"/>
    </xf>
    <xf numFmtId="0" fontId="21" fillId="19" borderId="16" xfId="1" applyFont="1" applyFill="1" applyBorder="1" applyAlignment="1">
      <alignment horizontal="center" vertical="center" wrapText="1"/>
    </xf>
    <xf numFmtId="0" fontId="21" fillId="19" borderId="11" xfId="1" applyFont="1" applyFill="1" applyBorder="1" applyAlignment="1">
      <alignment horizontal="center" vertical="center" wrapText="1"/>
    </xf>
    <xf numFmtId="0" fontId="21" fillId="19" borderId="10" xfId="1" applyFont="1" applyFill="1" applyBorder="1" applyAlignment="1">
      <alignment horizontal="center" vertical="center" wrapText="1"/>
    </xf>
    <xf numFmtId="0" fontId="21" fillId="19" borderId="10" xfId="0" applyFont="1" applyFill="1" applyBorder="1" applyAlignment="1">
      <alignment horizontal="center" vertical="center" wrapText="1"/>
    </xf>
    <xf numFmtId="0" fontId="21" fillId="19" borderId="16" xfId="0" applyFont="1" applyFill="1" applyBorder="1" applyAlignment="1">
      <alignment horizontal="center" vertical="center" wrapText="1"/>
    </xf>
    <xf numFmtId="0" fontId="21" fillId="19" borderId="22" xfId="0" applyFont="1" applyFill="1" applyBorder="1" applyAlignment="1">
      <alignment horizontal="center" vertical="center" wrapText="1"/>
    </xf>
    <xf numFmtId="0" fontId="21" fillId="19" borderId="11" xfId="0" applyFont="1" applyFill="1" applyBorder="1" applyAlignment="1">
      <alignment horizontal="center" vertical="center" wrapText="1"/>
    </xf>
    <xf numFmtId="0" fontId="21" fillId="19" borderId="28" xfId="1" applyFont="1" applyFill="1" applyBorder="1" applyAlignment="1">
      <alignment horizontal="center" vertical="center" wrapText="1"/>
    </xf>
    <xf numFmtId="0" fontId="21" fillId="19" borderId="12" xfId="1" applyFont="1" applyFill="1" applyBorder="1" applyAlignment="1">
      <alignment horizontal="center" vertical="center" wrapText="1"/>
    </xf>
    <xf numFmtId="0" fontId="21" fillId="19" borderId="26" xfId="1" applyFont="1" applyFill="1" applyBorder="1" applyAlignment="1">
      <alignment horizontal="center" vertical="center" wrapText="1"/>
    </xf>
    <xf numFmtId="0" fontId="21" fillId="19" borderId="24" xfId="1" applyFont="1" applyFill="1" applyBorder="1" applyAlignment="1">
      <alignment horizontal="center" vertical="center" wrapText="1"/>
    </xf>
    <xf numFmtId="0" fontId="21" fillId="19" borderId="27" xfId="1" applyFont="1" applyFill="1" applyBorder="1" applyAlignment="1">
      <alignment horizontal="center" vertical="center" wrapText="1"/>
    </xf>
    <xf numFmtId="0" fontId="21" fillId="19" borderId="25" xfId="1" applyFont="1" applyFill="1" applyBorder="1" applyAlignment="1">
      <alignment horizontal="center" vertical="center" wrapText="1"/>
    </xf>
    <xf numFmtId="0" fontId="17" fillId="0" borderId="0" xfId="0" applyFont="1" applyAlignment="1">
      <alignment horizontal="center" vertical="center" wrapText="1"/>
    </xf>
    <xf numFmtId="0" fontId="0" fillId="0" borderId="8" xfId="0" applyBorder="1" applyAlignment="1">
      <alignment horizontal="center"/>
    </xf>
    <xf numFmtId="0" fontId="0" fillId="0" borderId="9" xfId="0" applyBorder="1" applyAlignment="1">
      <alignment horizontal="center"/>
    </xf>
    <xf numFmtId="0" fontId="0" fillId="0" borderId="5" xfId="0" applyBorder="1" applyAlignment="1">
      <alignment horizontal="center"/>
    </xf>
    <xf numFmtId="0" fontId="0" fillId="0" borderId="6" xfId="0" applyBorder="1" applyAlignment="1">
      <alignment horizontal="center"/>
    </xf>
  </cellXfs>
  <cellStyles count="8">
    <cellStyle name="Millares" xfId="7" builtinId="3"/>
    <cellStyle name="Millares 3" xfId="4"/>
    <cellStyle name="Normal" xfId="0" builtinId="0"/>
    <cellStyle name="Normal 2" xfId="1"/>
    <cellStyle name="Normal 2 2" xfId="2"/>
    <cellStyle name="Normal 3" xfId="5"/>
    <cellStyle name="Normal 9" xfId="6"/>
    <cellStyle name="Porcentual 3" xfId="3"/>
  </cellStyles>
  <dxfs count="258">
    <dxf>
      <font>
        <color theme="0"/>
      </font>
    </dxf>
    <dxf>
      <font>
        <color theme="0"/>
      </font>
    </dxf>
    <dxf>
      <font>
        <color theme="0"/>
      </font>
    </dxf>
    <dxf>
      <font>
        <color theme="0"/>
      </font>
    </dxf>
    <dxf>
      <font>
        <color theme="0"/>
      </font>
    </dxf>
    <dxf>
      <font>
        <color theme="0"/>
      </font>
    </dxf>
    <dxf>
      <numFmt numFmtId="2" formatCode="0.00"/>
    </dxf>
    <dxf>
      <numFmt numFmtId="0" formatCode="General"/>
      <alignment horizontal="general" vertical="center" textRotation="0" wrapText="1" indent="0" justifyLastLine="0" shrinkToFit="0" readingOrder="0"/>
    </dxf>
    <dxf>
      <border outline="0">
        <top style="thin">
          <color theme="0" tint="-0.24994659260841701"/>
        </top>
      </border>
    </dxf>
    <dxf>
      <border outline="0">
        <bottom style="thin">
          <color theme="0" tint="-0.24994659260841701"/>
        </bottom>
      </border>
    </dxf>
    <dxf>
      <fill>
        <patternFill patternType="none">
          <fgColor indexed="64"/>
          <bgColor auto="1"/>
        </patternFill>
      </fill>
    </dxf>
    <dxf>
      <numFmt numFmtId="2" formatCode="0.00"/>
      <fill>
        <patternFill patternType="none">
          <fgColor indexed="64"/>
          <bgColor auto="1"/>
        </patternFill>
      </fill>
      <alignment horizontal="center" vertical="center" textRotation="0" wrapText="0"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numFmt numFmtId="2" formatCode="0.00"/>
      <fill>
        <patternFill patternType="none">
          <fgColor indexed="64"/>
          <bgColor auto="1"/>
        </patternFill>
      </fill>
      <alignment horizontal="center" vertical="center" textRotation="0" wrapText="0"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ill>
        <patternFill patternType="none">
          <fgColor indexed="64"/>
          <bgColor auto="1"/>
        </patternFill>
      </fill>
      <alignment horizontal="general"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border outline="0">
        <bottom style="thin">
          <color theme="0" tint="-0.24994659260841701"/>
        </bottom>
      </border>
    </dxf>
    <dxf>
      <fill>
        <patternFill patternType="none">
          <fgColor indexed="64"/>
          <bgColor auto="1"/>
        </patternFill>
      </fill>
      <alignment vertical="center" textRotation="0" indent="0" justifyLastLine="0" shrinkToFit="0" readingOrder="0"/>
    </dxf>
    <dxf>
      <fill>
        <patternFill patternType="none">
          <fgColor indexed="64"/>
          <bgColor auto="1"/>
        </patternFill>
      </fill>
      <alignment horizontal="general" vertical="center" textRotation="0" wrapText="0" indent="0" justifyLastLine="0" shrinkToFit="0" readingOrder="0"/>
    </dxf>
    <dxf>
      <fill>
        <patternFill patternType="none">
          <fgColor indexed="64"/>
          <bgColor auto="1"/>
        </patternFill>
      </fill>
      <alignment vertical="center" textRotation="0" indent="0" justifyLastLine="0" shrinkToFit="0" readingOrder="0"/>
    </dxf>
    <dxf>
      <fill>
        <patternFill patternType="none">
          <fgColor indexed="64"/>
          <bgColor auto="1"/>
        </patternFill>
      </fill>
      <alignment vertical="center" textRotation="0" indent="0" justifyLastLine="0" shrinkToFit="0" readingOrder="0"/>
    </dxf>
    <dxf>
      <numFmt numFmtId="2" formatCode="0.00"/>
      <fill>
        <patternFill patternType="none">
          <fgColor indexed="64"/>
          <bgColor auto="1"/>
        </patternFill>
      </fill>
      <alignment vertical="center" textRotation="0" indent="0" justifyLastLine="0" shrinkToFit="0" readingOrder="0"/>
    </dxf>
    <dxf>
      <numFmt numFmtId="2" formatCode="0.00"/>
      <fill>
        <patternFill patternType="none">
          <fgColor indexed="64"/>
          <bgColor auto="1"/>
        </patternFill>
      </fill>
      <alignment vertical="center" textRotation="0" indent="0" justifyLastLine="0" shrinkToFit="0" readingOrder="0"/>
    </dxf>
    <dxf>
      <fill>
        <patternFill patternType="none">
          <fgColor indexed="64"/>
          <bgColor auto="1"/>
        </patternFill>
      </fill>
      <alignment vertical="center" textRotation="0" indent="0" justifyLastLine="0" shrinkToFit="0" readingOrder="0"/>
    </dxf>
    <dxf>
      <fill>
        <patternFill patternType="none">
          <fgColor indexed="64"/>
          <bgColor auto="1"/>
        </patternFill>
      </fill>
      <alignment vertical="center" textRotation="0" indent="0" justifyLastLine="0" shrinkToFit="0" readingOrder="0"/>
    </dxf>
    <dxf>
      <fill>
        <patternFill patternType="none">
          <fgColor indexed="64"/>
          <bgColor auto="1"/>
        </patternFill>
      </fill>
      <alignment horizontal="general" vertical="center" textRotation="0" wrapText="0" indent="0" justifyLastLine="0" shrinkToFit="0" readingOrder="0"/>
    </dxf>
    <dxf>
      <fill>
        <patternFill>
          <bgColor rgb="FFFFC000"/>
        </patternFill>
      </fill>
    </dxf>
    <dxf>
      <fill>
        <patternFill>
          <bgColor rgb="FFFF0000"/>
        </patternFill>
      </fill>
    </dxf>
    <dxf>
      <fill>
        <patternFill>
          <bgColor rgb="FFFFFF00"/>
        </patternFill>
      </fill>
    </dxf>
    <dxf>
      <fill>
        <patternFill>
          <bgColor rgb="FF009900"/>
        </patternFill>
      </fill>
    </dxf>
    <dxf>
      <numFmt numFmtId="2" formatCode="0.00"/>
      <alignment horizontal="center" vertical="center" textRotation="0" wrapText="0" indent="0" justifyLastLine="0" shrinkToFit="0" readingOrder="0"/>
    </dxf>
    <dxf>
      <numFmt numFmtId="2" formatCode="0.00"/>
      <alignment horizontal="center" vertical="center" textRotation="0" wrapText="0" indent="0" justifyLastLine="0" shrinkToFit="0" readingOrder="0"/>
    </dxf>
    <dxf>
      <alignment horizontal="center" vertical="center" textRotation="0" wrapText="0" indent="0" justifyLastLine="0" shrinkToFit="0" readingOrder="0"/>
    </dxf>
    <dxf>
      <fill>
        <patternFill patternType="solid">
          <fgColor indexed="64"/>
          <bgColor theme="4" tint="-0.249977111117893"/>
        </patternFill>
      </fill>
      <alignment horizontal="center" vertical="center" textRotation="0" wrapText="0" indent="0" justifyLastLine="0" shrinkToFit="0" readingOrder="0"/>
    </dxf>
    <dxf>
      <fill>
        <patternFill>
          <bgColor rgb="FFFFC000"/>
        </patternFill>
      </fill>
    </dxf>
    <dxf>
      <fill>
        <patternFill>
          <bgColor rgb="FFFF0000"/>
        </patternFill>
      </fill>
    </dxf>
    <dxf>
      <fill>
        <patternFill>
          <bgColor rgb="FFFFFF00"/>
        </patternFill>
      </fill>
    </dxf>
    <dxf>
      <fill>
        <patternFill>
          <bgColor rgb="FF009900"/>
        </patternFill>
      </fill>
    </dxf>
    <dxf>
      <font>
        <color theme="1"/>
      </font>
      <fill>
        <patternFill>
          <bgColor rgb="FF00FF00"/>
        </patternFill>
      </fill>
    </dxf>
    <dxf>
      <fill>
        <patternFill>
          <bgColor indexed="10"/>
        </patternFill>
      </fill>
    </dxf>
    <dxf>
      <font>
        <color theme="0"/>
      </font>
      <border>
        <left/>
        <right/>
        <top/>
        <bottom/>
        <vertical/>
        <horizontal/>
      </border>
    </dxf>
    <dxf>
      <fill>
        <patternFill>
          <bgColor rgb="FFFFC000"/>
        </patternFill>
      </fill>
    </dxf>
    <dxf>
      <fill>
        <patternFill>
          <bgColor rgb="FFFF0000"/>
        </patternFill>
      </fill>
    </dxf>
    <dxf>
      <fill>
        <patternFill>
          <bgColor rgb="FFFFFF00"/>
        </patternFill>
      </fill>
    </dxf>
    <dxf>
      <fill>
        <patternFill>
          <bgColor rgb="FF009900"/>
        </patternFill>
      </fill>
    </dxf>
    <dxf>
      <font>
        <color theme="1"/>
      </font>
      <fill>
        <patternFill>
          <bgColor rgb="FF00FF00"/>
        </patternFill>
      </fill>
    </dxf>
    <dxf>
      <fill>
        <patternFill>
          <bgColor indexed="10"/>
        </patternFill>
      </fill>
    </dxf>
    <dxf>
      <font>
        <strike/>
      </font>
      <fill>
        <patternFill>
          <bgColor rgb="FFFF0000"/>
        </patternFill>
      </fill>
    </dxf>
    <dxf>
      <font>
        <strike/>
      </font>
      <fill>
        <patternFill>
          <bgColor rgb="FFFF0000"/>
        </patternFill>
      </fill>
    </dxf>
    <dxf>
      <font>
        <strike/>
      </font>
      <fill>
        <patternFill>
          <bgColor rgb="FFFF0000"/>
        </patternFill>
      </fill>
    </dxf>
    <dxf>
      <font>
        <strike/>
      </font>
      <fill>
        <patternFill>
          <bgColor rgb="FFFF0000"/>
        </patternFill>
      </fill>
    </dxf>
    <dxf>
      <font>
        <strike/>
      </font>
      <fill>
        <patternFill>
          <bgColor rgb="FFFF0000"/>
        </patternFill>
      </fill>
    </dxf>
    <dxf>
      <font>
        <strike/>
      </font>
      <fill>
        <patternFill>
          <bgColor rgb="FFFF0000"/>
        </patternFill>
      </fill>
    </dxf>
    <dxf>
      <font>
        <strike/>
      </font>
      <fill>
        <patternFill>
          <bgColor rgb="FFFF0000"/>
        </patternFill>
      </fill>
    </dxf>
    <dxf>
      <font>
        <strike/>
      </font>
      <fill>
        <patternFill>
          <bgColor rgb="FFFF0000"/>
        </patternFill>
      </fill>
    </dxf>
    <dxf>
      <numFmt numFmtId="2" formatCode="0.00"/>
    </dxf>
    <dxf>
      <numFmt numFmtId="0" formatCode="General"/>
      <alignment horizontal="general" vertical="center" textRotation="0" wrapText="1" indent="0" justifyLastLine="0" shrinkToFit="0" readingOrder="0"/>
    </dxf>
    <dxf>
      <border outline="0">
        <top style="thin">
          <color theme="0" tint="-0.24994659260841701"/>
        </top>
      </border>
    </dxf>
    <dxf>
      <border outline="0">
        <bottom style="thin">
          <color theme="0" tint="-0.24994659260841701"/>
        </bottom>
      </border>
    </dxf>
    <dxf>
      <fill>
        <patternFill patternType="none">
          <fgColor indexed="64"/>
          <bgColor auto="1"/>
        </patternFill>
      </fill>
    </dxf>
    <dxf>
      <numFmt numFmtId="2" formatCode="0.00"/>
    </dxf>
    <dxf>
      <numFmt numFmtId="2" formatCode="0.00"/>
    </dxf>
    <dxf>
      <alignment horizontal="general" vertical="center" textRotation="0" wrapText="1" indent="0" justifyLastLine="0" shrinkToFit="0" readingOrder="0"/>
    </dxf>
    <dxf>
      <border outline="0">
        <top style="thin">
          <color theme="0" tint="-0.24994659260841701"/>
        </top>
      </border>
    </dxf>
    <dxf>
      <border outline="0">
        <bottom style="thin">
          <color theme="0" tint="-0.24994659260841701"/>
        </bottom>
      </border>
    </dxf>
    <dxf>
      <fill>
        <patternFill patternType="none">
          <fgColor indexed="64"/>
          <bgColor auto="1"/>
        </patternFill>
      </fill>
    </dxf>
    <dxf>
      <fill>
        <patternFill patternType="none">
          <fgColor indexed="64"/>
          <bgColor auto="1"/>
        </patternFill>
      </fill>
      <alignment horizontal="center" vertical="center" textRotation="0" wrapText="0" indent="0" justifyLastLine="0" shrinkToFit="0" readingOrder="0"/>
    </dxf>
    <dxf>
      <numFmt numFmtId="2" formatCode="0.00"/>
      <fill>
        <patternFill patternType="none">
          <fgColor indexed="64"/>
          <bgColor auto="1"/>
        </patternFill>
      </fill>
      <alignment horizontal="center" vertical="center" textRotation="0" wrapText="0" indent="0" justifyLastLine="0" shrinkToFit="0" readingOrder="0"/>
    </dxf>
    <dxf>
      <numFmt numFmtId="2" formatCode="0.00"/>
      <fill>
        <patternFill patternType="none">
          <fgColor indexed="64"/>
          <bgColor auto="1"/>
        </patternFill>
      </fill>
      <alignment horizontal="center" vertical="center" textRotation="0" wrapText="0" indent="0" justifyLastLine="0" shrinkToFit="0" readingOrder="0"/>
    </dxf>
    <dxf>
      <numFmt numFmtId="2" formatCode="0.00"/>
      <fill>
        <patternFill patternType="none">
          <fgColor indexed="64"/>
          <bgColor auto="1"/>
        </patternFill>
      </fill>
      <alignment horizontal="center" vertical="center" textRotation="0" wrapText="0" indent="0" justifyLastLine="0" shrinkToFit="0" readingOrder="0"/>
    </dxf>
    <dxf>
      <fill>
        <patternFill patternType="none">
          <fgColor indexed="64"/>
          <bgColor auto="1"/>
        </patternFill>
      </fill>
      <alignment horizontal="general" vertical="center" textRotation="0" indent="0" justifyLastLine="0" shrinkToFit="0" readingOrder="0"/>
    </dxf>
    <dxf>
      <border diagonalUp="0" diagonalDown="0">
        <left style="thin">
          <color theme="0" tint="-0.24994659260841701"/>
        </left>
        <right style="thin">
          <color theme="0" tint="-0.24994659260841701"/>
        </right>
        <top style="thin">
          <color theme="0" tint="-0.24994659260841701"/>
        </top>
        <bottom style="thin">
          <color theme="0" tint="-0.24994659260841701"/>
        </bottom>
      </border>
    </dxf>
    <dxf>
      <fill>
        <patternFill patternType="none">
          <fgColor indexed="64"/>
          <bgColor auto="1"/>
        </patternFill>
      </fill>
    </dxf>
    <dxf>
      <border>
        <bottom style="thin">
          <color theme="0" tint="-0.24994659260841701"/>
        </bottom>
      </border>
    </dxf>
    <dxf>
      <fill>
        <patternFill patternType="solid">
          <fgColor indexed="64"/>
          <bgColor rgb="FFEC3338"/>
        </patternFill>
      </fill>
      <alignment horizontal="center" vertical="center" textRotation="0" wrapText="0" indent="0" justifyLastLine="0" shrinkToFit="0" readingOrder="0"/>
      <border diagonalUp="0" diagonalDown="0">
        <left style="double">
          <color theme="0" tint="-0.24994659260841701"/>
        </left>
        <right style="double">
          <color theme="0" tint="-0.24994659260841701"/>
        </right>
        <top/>
        <bottom/>
        <vertical style="double">
          <color theme="0" tint="-0.24994659260841701"/>
        </vertical>
        <horizontal/>
      </border>
    </dxf>
    <dxf>
      <font>
        <color theme="0"/>
      </font>
      <fill>
        <patternFill>
          <bgColor rgb="FFFF0000"/>
        </patternFill>
      </fill>
    </dxf>
    <dxf>
      <fill>
        <patternFill>
          <bgColor rgb="FFFFC000"/>
        </patternFill>
      </fill>
    </dxf>
    <dxf>
      <fill>
        <patternFill>
          <bgColor rgb="FFFF0000"/>
        </patternFill>
      </fill>
    </dxf>
    <dxf>
      <fill>
        <patternFill>
          <bgColor rgb="FFFFFF00"/>
        </patternFill>
      </fill>
    </dxf>
    <dxf>
      <fill>
        <patternFill>
          <bgColor rgb="FF009900"/>
        </patternFill>
      </fill>
    </dxf>
    <dxf>
      <fill>
        <patternFill>
          <bgColor rgb="FFFFC000"/>
        </patternFill>
      </fill>
    </dxf>
    <dxf>
      <fill>
        <patternFill>
          <bgColor rgb="FFFF0000"/>
        </patternFill>
      </fill>
    </dxf>
    <dxf>
      <fill>
        <patternFill>
          <bgColor rgb="FFFFFF00"/>
        </patternFill>
      </fill>
    </dxf>
    <dxf>
      <fill>
        <patternFill>
          <bgColor rgb="FF009900"/>
        </patternFill>
      </fill>
    </dxf>
    <dxf>
      <fill>
        <patternFill>
          <bgColor rgb="FFFFC000"/>
        </patternFill>
      </fill>
    </dxf>
    <dxf>
      <fill>
        <patternFill>
          <bgColor rgb="FFFF0000"/>
        </patternFill>
      </fill>
    </dxf>
    <dxf>
      <fill>
        <patternFill>
          <bgColor rgb="FFFFFF00"/>
        </patternFill>
      </fill>
    </dxf>
    <dxf>
      <fill>
        <patternFill>
          <bgColor rgb="FF009900"/>
        </patternFill>
      </fill>
    </dxf>
    <dxf>
      <fill>
        <patternFill>
          <bgColor rgb="FFFFC000"/>
        </patternFill>
      </fill>
    </dxf>
    <dxf>
      <fill>
        <patternFill>
          <bgColor rgb="FFFF0000"/>
        </patternFill>
      </fill>
    </dxf>
    <dxf>
      <fill>
        <patternFill>
          <bgColor rgb="FFFFFF00"/>
        </patternFill>
      </fill>
    </dxf>
    <dxf>
      <fill>
        <patternFill>
          <bgColor rgb="FF009900"/>
        </patternFill>
      </fill>
    </dxf>
    <dxf>
      <fill>
        <patternFill>
          <bgColor rgb="FFFFC000"/>
        </patternFill>
      </fill>
    </dxf>
    <dxf>
      <fill>
        <patternFill>
          <bgColor rgb="FFFF0000"/>
        </patternFill>
      </fill>
    </dxf>
    <dxf>
      <fill>
        <patternFill>
          <bgColor rgb="FFFFFF00"/>
        </patternFill>
      </fill>
    </dxf>
    <dxf>
      <fill>
        <patternFill>
          <bgColor rgb="FF009900"/>
        </patternFill>
      </fill>
    </dxf>
    <dxf>
      <fill>
        <patternFill>
          <bgColor rgb="FFFFC000"/>
        </patternFill>
      </fill>
    </dxf>
    <dxf>
      <font>
        <color theme="0"/>
      </font>
      <fill>
        <patternFill>
          <bgColor rgb="FFFF0000"/>
        </patternFill>
      </fill>
    </dxf>
    <dxf>
      <fill>
        <patternFill>
          <bgColor rgb="FFFFFF00"/>
        </patternFill>
      </fill>
    </dxf>
    <dxf>
      <fill>
        <patternFill>
          <bgColor rgb="FF0099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C000"/>
        </patternFill>
      </fill>
    </dxf>
    <dxf>
      <font>
        <color theme="0"/>
      </font>
      <fill>
        <patternFill>
          <bgColor rgb="FFFF0000"/>
        </patternFill>
      </fill>
    </dxf>
    <dxf>
      <fill>
        <patternFill>
          <bgColor rgb="FFFFFF00"/>
        </patternFill>
      </fill>
    </dxf>
    <dxf>
      <fill>
        <patternFill>
          <bgColor rgb="FF009900"/>
        </patternFill>
      </fill>
    </dxf>
    <dxf>
      <fill>
        <patternFill>
          <bgColor rgb="FFFFC000"/>
        </patternFill>
      </fill>
    </dxf>
    <dxf>
      <fill>
        <patternFill>
          <bgColor rgb="FFFF0000"/>
        </patternFill>
      </fill>
    </dxf>
    <dxf>
      <fill>
        <patternFill>
          <bgColor rgb="FFFFFF00"/>
        </patternFill>
      </fill>
    </dxf>
    <dxf>
      <fill>
        <patternFill>
          <bgColor rgb="FF009900"/>
        </patternFill>
      </fill>
    </dxf>
    <dxf>
      <fill>
        <patternFill>
          <bgColor rgb="FFFF0000"/>
        </patternFill>
      </fill>
    </dxf>
    <dxf>
      <fill>
        <patternFill>
          <bgColor rgb="FFFFC000"/>
        </patternFill>
      </fill>
    </dxf>
    <dxf>
      <font>
        <color theme="0"/>
      </font>
      <fill>
        <patternFill>
          <bgColor rgb="FFFF0000"/>
        </patternFill>
      </fill>
    </dxf>
    <dxf>
      <fill>
        <patternFill>
          <bgColor rgb="FFFFFF00"/>
        </patternFill>
      </fill>
    </dxf>
    <dxf>
      <fill>
        <patternFill>
          <bgColor rgb="FF009900"/>
        </patternFill>
      </fill>
    </dxf>
    <dxf>
      <fill>
        <patternFill>
          <bgColor rgb="FFFFC000"/>
        </patternFill>
      </fill>
    </dxf>
    <dxf>
      <fill>
        <patternFill>
          <bgColor rgb="FFFF0000"/>
        </patternFill>
      </fill>
    </dxf>
    <dxf>
      <fill>
        <patternFill>
          <bgColor rgb="FFFFFF00"/>
        </patternFill>
      </fill>
    </dxf>
    <dxf>
      <fill>
        <patternFill>
          <bgColor rgb="FF009900"/>
        </patternFill>
      </fill>
    </dxf>
    <dxf>
      <fill>
        <patternFill>
          <bgColor rgb="FFFFC000"/>
        </patternFill>
      </fill>
    </dxf>
    <dxf>
      <font>
        <color theme="0"/>
      </font>
      <fill>
        <patternFill>
          <bgColor rgb="FFFF0000"/>
        </patternFill>
      </fill>
    </dxf>
    <dxf>
      <fill>
        <patternFill>
          <bgColor rgb="FFFFFF00"/>
        </patternFill>
      </fill>
    </dxf>
    <dxf>
      <fill>
        <patternFill>
          <bgColor rgb="FF009900"/>
        </patternFill>
      </fill>
    </dxf>
    <dxf>
      <fill>
        <patternFill>
          <bgColor rgb="FFFFC000"/>
        </patternFill>
      </fill>
    </dxf>
    <dxf>
      <fill>
        <patternFill>
          <bgColor rgb="FFFF0000"/>
        </patternFill>
      </fill>
    </dxf>
    <dxf>
      <fill>
        <patternFill>
          <bgColor rgb="FFFFFF00"/>
        </patternFill>
      </fill>
    </dxf>
    <dxf>
      <fill>
        <patternFill>
          <bgColor rgb="FF009900"/>
        </patternFill>
      </fill>
    </dxf>
    <dxf>
      <fill>
        <patternFill>
          <bgColor rgb="FFFF0000"/>
        </patternFill>
      </fill>
    </dxf>
    <dxf>
      <fill>
        <patternFill>
          <bgColor rgb="FFFFC000"/>
        </patternFill>
      </fill>
    </dxf>
    <dxf>
      <font>
        <color theme="0"/>
      </font>
      <fill>
        <patternFill>
          <bgColor rgb="FFFF0000"/>
        </patternFill>
      </fill>
    </dxf>
    <dxf>
      <fill>
        <patternFill>
          <bgColor rgb="FFFFFF00"/>
        </patternFill>
      </fill>
    </dxf>
    <dxf>
      <fill>
        <patternFill>
          <bgColor rgb="FF009900"/>
        </patternFill>
      </fill>
    </dxf>
    <dxf>
      <fill>
        <patternFill>
          <bgColor rgb="FFFFC000"/>
        </patternFill>
      </fill>
    </dxf>
    <dxf>
      <fill>
        <patternFill>
          <bgColor rgb="FFFF0000"/>
        </patternFill>
      </fill>
    </dxf>
    <dxf>
      <fill>
        <patternFill>
          <bgColor rgb="FFFFFF00"/>
        </patternFill>
      </fill>
    </dxf>
    <dxf>
      <fill>
        <patternFill>
          <bgColor rgb="FF009900"/>
        </patternFill>
      </fill>
    </dxf>
    <dxf>
      <fill>
        <patternFill>
          <bgColor rgb="FFFF0000"/>
        </patternFill>
      </fill>
    </dxf>
    <dxf>
      <fill>
        <patternFill>
          <bgColor rgb="FFFF0000"/>
        </patternFill>
      </fill>
    </dxf>
    <dxf>
      <fill>
        <patternFill>
          <bgColor rgb="FFFF0000"/>
        </patternFill>
      </fill>
    </dxf>
    <dxf>
      <fill>
        <patternFill>
          <bgColor rgb="FFFFC000"/>
        </patternFill>
      </fill>
    </dxf>
    <dxf>
      <font>
        <color theme="0"/>
      </font>
      <fill>
        <patternFill>
          <bgColor rgb="FFFF0000"/>
        </patternFill>
      </fill>
    </dxf>
    <dxf>
      <fill>
        <patternFill>
          <bgColor rgb="FFFFFF00"/>
        </patternFill>
      </fill>
    </dxf>
    <dxf>
      <fill>
        <patternFill>
          <bgColor rgb="FF009900"/>
        </patternFill>
      </fill>
    </dxf>
    <dxf>
      <fill>
        <patternFill>
          <bgColor rgb="FFFFC000"/>
        </patternFill>
      </fill>
    </dxf>
    <dxf>
      <fill>
        <patternFill>
          <bgColor rgb="FFFF0000"/>
        </patternFill>
      </fill>
    </dxf>
    <dxf>
      <fill>
        <patternFill>
          <bgColor rgb="FFFFFF00"/>
        </patternFill>
      </fill>
    </dxf>
    <dxf>
      <fill>
        <patternFill>
          <bgColor rgb="FF009900"/>
        </patternFill>
      </fill>
    </dxf>
    <dxf>
      <fill>
        <patternFill>
          <bgColor rgb="FFFFC000"/>
        </patternFill>
      </fill>
    </dxf>
    <dxf>
      <font>
        <color theme="0"/>
      </font>
      <fill>
        <patternFill>
          <bgColor rgb="FFFF0000"/>
        </patternFill>
      </fill>
    </dxf>
    <dxf>
      <fill>
        <patternFill>
          <bgColor rgb="FFFFFF00"/>
        </patternFill>
      </fill>
    </dxf>
    <dxf>
      <fill>
        <patternFill>
          <bgColor rgb="FF009900"/>
        </patternFill>
      </fill>
    </dxf>
    <dxf>
      <fill>
        <patternFill>
          <bgColor rgb="FFFFC000"/>
        </patternFill>
      </fill>
    </dxf>
    <dxf>
      <fill>
        <patternFill>
          <bgColor rgb="FFFF0000"/>
        </patternFill>
      </fill>
    </dxf>
    <dxf>
      <fill>
        <patternFill>
          <bgColor rgb="FFFFFF00"/>
        </patternFill>
      </fill>
    </dxf>
    <dxf>
      <fill>
        <patternFill>
          <bgColor rgb="FF009900"/>
        </patternFill>
      </fill>
    </dxf>
    <dxf>
      <font>
        <color theme="0"/>
      </font>
      <border>
        <left/>
        <right/>
        <top/>
        <bottom/>
        <vertical/>
        <horizontal/>
      </border>
    </dxf>
    <dxf>
      <fill>
        <patternFill>
          <bgColor rgb="FFFFC000"/>
        </patternFill>
      </fill>
    </dxf>
    <dxf>
      <font>
        <color theme="0"/>
      </font>
      <fill>
        <patternFill>
          <bgColor rgb="FFFF0000"/>
        </patternFill>
      </fill>
    </dxf>
    <dxf>
      <fill>
        <patternFill>
          <bgColor rgb="FFFFFF00"/>
        </patternFill>
      </fill>
    </dxf>
    <dxf>
      <fill>
        <patternFill>
          <bgColor rgb="FF009900"/>
        </patternFill>
      </fill>
    </dxf>
    <dxf>
      <fill>
        <patternFill>
          <bgColor rgb="FFFFC000"/>
        </patternFill>
      </fill>
    </dxf>
    <dxf>
      <fill>
        <patternFill>
          <bgColor rgb="FFFF0000"/>
        </patternFill>
      </fill>
    </dxf>
    <dxf>
      <fill>
        <patternFill>
          <bgColor rgb="FFFFFF00"/>
        </patternFill>
      </fill>
    </dxf>
    <dxf>
      <fill>
        <patternFill>
          <bgColor rgb="FF009900"/>
        </patternFill>
      </fill>
    </dxf>
    <dxf>
      <fill>
        <patternFill>
          <bgColor rgb="FFFFC000"/>
        </patternFill>
      </fill>
    </dxf>
    <dxf>
      <font>
        <color theme="0"/>
      </font>
      <fill>
        <patternFill>
          <bgColor rgb="FFFF0000"/>
        </patternFill>
      </fill>
    </dxf>
    <dxf>
      <fill>
        <patternFill>
          <bgColor rgb="FFFFFF00"/>
        </patternFill>
      </fill>
    </dxf>
    <dxf>
      <fill>
        <patternFill>
          <bgColor rgb="FF009900"/>
        </patternFill>
      </fill>
    </dxf>
    <dxf>
      <fill>
        <patternFill>
          <bgColor rgb="FFFFC000"/>
        </patternFill>
      </fill>
    </dxf>
    <dxf>
      <fill>
        <patternFill>
          <bgColor rgb="FFFF0000"/>
        </patternFill>
      </fill>
    </dxf>
    <dxf>
      <fill>
        <patternFill>
          <bgColor rgb="FFFFFF00"/>
        </patternFill>
      </fill>
    </dxf>
    <dxf>
      <fill>
        <patternFill>
          <bgColor rgb="FF009900"/>
        </patternFill>
      </fill>
    </dxf>
    <dxf>
      <fill>
        <patternFill>
          <bgColor rgb="FFFF0000"/>
        </patternFill>
      </fill>
    </dxf>
    <dxf>
      <fill>
        <patternFill>
          <bgColor rgb="FFFFC000"/>
        </patternFill>
      </fill>
    </dxf>
    <dxf>
      <font>
        <color theme="0"/>
      </font>
      <fill>
        <patternFill>
          <bgColor rgb="FFFF0000"/>
        </patternFill>
      </fill>
    </dxf>
    <dxf>
      <fill>
        <patternFill>
          <bgColor rgb="FFFFFF00"/>
        </patternFill>
      </fill>
    </dxf>
    <dxf>
      <fill>
        <patternFill>
          <bgColor rgb="FF009900"/>
        </patternFill>
      </fill>
    </dxf>
    <dxf>
      <fill>
        <patternFill>
          <bgColor rgb="FFFFC000"/>
        </patternFill>
      </fill>
    </dxf>
    <dxf>
      <fill>
        <patternFill>
          <bgColor rgb="FFFF0000"/>
        </patternFill>
      </fill>
    </dxf>
    <dxf>
      <fill>
        <patternFill>
          <bgColor rgb="FFFFFF00"/>
        </patternFill>
      </fill>
    </dxf>
    <dxf>
      <fill>
        <patternFill>
          <bgColor rgb="FF009900"/>
        </patternFill>
      </fill>
    </dxf>
    <dxf>
      <alignment horizontal="center" vertical="center" textRotation="0" wrapText="1" indent="0" justifyLastLine="0" shrinkToFit="0" readingOrder="0"/>
    </dxf>
    <dxf>
      <alignment horizontal="center" vertical="center" textRotation="0" indent="0" justifyLastLine="0" shrinkToFit="0" readingOrder="0"/>
    </dxf>
    <dxf>
      <alignment horizontal="center" vertical="center" textRotation="0" indent="0" justifyLastLine="0" shrinkToFit="0" readingOrder="0"/>
    </dxf>
    <dxf>
      <alignment horizontal="center" vertical="center" textRotation="0" indent="0" justifyLastLine="0" shrinkToFit="0" readingOrder="0"/>
    </dxf>
    <dxf>
      <alignment horizontal="center" vertical="center" textRotation="0" indent="0" justifyLastLine="0" shrinkToFit="0" readingOrder="0"/>
    </dxf>
    <dxf>
      <alignment horizontal="center" vertical="center" textRotation="0" indent="0" justifyLastLine="0" shrinkToFit="0" readingOrder="0"/>
    </dxf>
    <dxf>
      <alignment horizontal="center" vertical="center" textRotation="0" indent="0" justifyLastLine="0" shrinkToFit="0" readingOrder="0"/>
    </dxf>
    <dxf>
      <fill>
        <patternFill patternType="none">
          <fgColor indexed="64"/>
          <bgColor auto="1"/>
        </patternFill>
      </fill>
      <alignment horizontal="center" vertical="center" textRotation="0" wrapText="0" indent="0" justifyLastLine="0" shrinkToFit="0" readingOrder="0"/>
    </dxf>
    <dxf>
      <alignment horizontal="left" vertical="center" textRotation="0" wrapText="0" indent="0" justifyLastLine="0" shrinkToFit="0" readingOrder="0"/>
    </dxf>
    <dxf>
      <alignment horizontal="left" vertical="center" textRotation="0" wrapText="0" indent="0" justifyLastLine="0" shrinkToFit="0" readingOrder="0"/>
    </dxf>
    <dxf>
      <alignment horizontal="left" vertical="center" textRotation="0" wrapText="0" indent="0" justifyLastLine="0" shrinkToFit="0" readingOrder="0"/>
    </dxf>
    <dxf>
      <fill>
        <patternFill patternType="none">
          <fgColor indexed="64"/>
          <bgColor auto="1"/>
        </patternFill>
      </fill>
    </dxf>
    <dxf>
      <font>
        <strike val="0"/>
        <outline val="0"/>
        <shadow val="0"/>
        <u val="none"/>
        <vertAlign val="baseline"/>
        <sz val="11"/>
        <color auto="1"/>
        <name val="Calibri"/>
        <scheme val="minor"/>
      </font>
      <alignment horizontal="left" vertical="center" textRotation="0" wrapText="0" indent="0" justifyLastLine="0" shrinkToFit="0" readingOrder="0"/>
    </dxf>
    <dxf>
      <font>
        <strike val="0"/>
        <outline val="0"/>
        <shadow val="0"/>
        <u val="none"/>
        <vertAlign val="baseline"/>
        <sz val="11"/>
        <color auto="1"/>
        <name val="Calibri"/>
        <scheme val="minor"/>
      </font>
      <alignment horizontal="left" vertical="center" textRotation="0" wrapText="0" indent="0" justifyLastLine="0" shrinkToFit="0" readingOrder="0"/>
    </dxf>
    <dxf>
      <font>
        <b/>
        <strike val="0"/>
        <outline val="0"/>
        <shadow val="0"/>
        <u val="none"/>
        <vertAlign val="baseline"/>
        <sz val="11"/>
        <color theme="0"/>
        <name val="Calibri"/>
        <scheme val="minor"/>
      </font>
      <fill>
        <patternFill patternType="none">
          <fgColor indexed="64"/>
          <bgColor auto="1"/>
        </patternFill>
      </fill>
    </dxf>
    <dxf>
      <alignment horizontal="left" vertical="center" textRotation="0" wrapText="0" indent="0" justifyLastLine="0" shrinkToFit="0" readingOrder="0"/>
    </dxf>
    <dxf>
      <alignment horizontal="left" vertical="center" textRotation="0" wrapText="0" indent="0" justifyLastLine="0" shrinkToFit="0" readingOrder="0"/>
    </dxf>
    <dxf>
      <alignment horizontal="left" vertical="center" textRotation="0" wrapText="0" indent="0" justifyLastLine="0" shrinkToFit="0" readingOrder="0"/>
    </dxf>
    <dxf>
      <fill>
        <patternFill patternType="none">
          <fgColor indexed="64"/>
          <bgColor auto="1"/>
        </patternFill>
      </fill>
    </dxf>
    <dxf>
      <alignment horizontal="left" vertical="center" textRotation="0" wrapText="0" indent="0" justifyLastLine="0" shrinkToFit="0" readingOrder="0"/>
    </dxf>
    <dxf>
      <alignment horizontal="left" vertical="center" textRotation="0" wrapText="0" indent="0" justifyLastLine="0" shrinkToFit="0" readingOrder="0"/>
    </dxf>
    <dxf>
      <alignment horizontal="left" vertical="center" textRotation="0" wrapText="0" indent="0" justifyLastLine="0" shrinkToFit="0" readingOrder="0"/>
    </dxf>
    <dxf>
      <fill>
        <patternFill patternType="none">
          <fgColor indexed="64"/>
          <bgColor auto="1"/>
        </patternFill>
      </fill>
    </dxf>
    <dxf>
      <alignment horizontal="left" vertical="center" textRotation="0" wrapText="0" indent="0" justifyLastLine="0" shrinkToFit="0" readingOrder="0"/>
    </dxf>
    <dxf>
      <alignment horizontal="left" vertical="center" textRotation="0" wrapText="0" indent="0" justifyLastLine="0" shrinkToFit="0" readingOrder="0"/>
    </dxf>
    <dxf>
      <alignment horizontal="left" vertical="center" textRotation="0" wrapText="0" indent="0" justifyLastLine="0" shrinkToFit="0" readingOrder="0"/>
    </dxf>
    <dxf>
      <fill>
        <patternFill patternType="none">
          <fgColor indexed="64"/>
          <bgColor auto="1"/>
        </patternFill>
      </fill>
    </dxf>
    <dxf>
      <fill>
        <patternFill patternType="none">
          <fgColor indexed="64"/>
          <bgColor indexed="65"/>
        </patternFill>
      </fill>
      <border diagonalUp="0" diagonalDown="0" outline="0">
        <left/>
        <right style="hair">
          <color indexed="64"/>
        </right>
        <top style="hair">
          <color indexed="64"/>
        </top>
        <bottom/>
      </border>
    </dxf>
    <dxf>
      <alignment horizontal="left" vertical="center" textRotation="0" indent="0" justifyLastLine="0" shrinkToFit="0" readingOrder="0"/>
    </dxf>
    <dxf>
      <fill>
        <patternFill patternType="none">
          <fgColor indexed="64"/>
          <bgColor indexed="65"/>
        </patternFill>
      </fill>
      <border diagonalUp="0" diagonalDown="0" outline="0">
        <left/>
        <right style="hair">
          <color indexed="64"/>
        </right>
        <top style="hair">
          <color indexed="64"/>
        </top>
        <bottom/>
      </border>
    </dxf>
    <dxf>
      <fill>
        <patternFill>
          <fgColor indexed="64"/>
          <bgColor theme="0"/>
        </patternFill>
      </fill>
      <alignment horizontal="left" vertical="center" textRotation="0" indent="0" justifyLastLine="0" shrinkToFit="0" readingOrder="0"/>
    </dxf>
    <dxf>
      <alignment horizontal="left" vertical="center" textRotation="0" indent="0" justifyLastLine="0" shrinkToFit="0" readingOrder="0"/>
    </dxf>
    <dxf>
      <font>
        <strike val="0"/>
        <outline val="0"/>
        <shadow val="0"/>
        <u val="none"/>
        <vertAlign val="baseline"/>
        <sz val="11"/>
        <color theme="0"/>
        <name val="Calibri"/>
        <scheme val="minor"/>
      </font>
      <fill>
        <patternFill patternType="none">
          <fgColor indexed="64"/>
          <bgColor auto="1"/>
        </patternFill>
      </fill>
    </dxf>
    <dxf>
      <border>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border>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border>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border>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color theme="1"/>
      </font>
      <border>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color theme="1"/>
      </font>
      <border>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color theme="1"/>
      </font>
      <border>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color theme="0"/>
      </font>
      <fill>
        <patternFill patternType="solid">
          <fgColor rgb="FFED3338"/>
          <bgColor rgb="FFEC3338"/>
        </patternFill>
      </fill>
      <border>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color theme="1"/>
      </font>
      <border>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border>
        <left style="thin">
          <color theme="5"/>
        </left>
      </border>
    </dxf>
    <dxf>
      <border>
        <left style="thin">
          <color theme="5"/>
        </left>
      </border>
    </dxf>
    <dxf>
      <border>
        <top style="thin">
          <color theme="5"/>
        </top>
      </border>
    </dxf>
    <dxf>
      <border>
        <top style="thin">
          <color theme="5"/>
        </top>
      </border>
    </dxf>
    <dxf>
      <font>
        <b/>
        <color theme="1"/>
      </font>
    </dxf>
    <dxf>
      <font>
        <b/>
        <color theme="1"/>
      </font>
    </dxf>
    <dxf>
      <font>
        <b/>
        <color theme="1"/>
      </font>
      <border>
        <top style="double">
          <color theme="5"/>
        </top>
      </border>
    </dxf>
    <dxf>
      <font>
        <color theme="0"/>
      </font>
      <fill>
        <patternFill patternType="solid">
          <fgColor theme="5"/>
          <bgColor theme="5"/>
        </patternFill>
      </fill>
    </dxf>
    <dxf>
      <font>
        <color theme="1"/>
      </font>
      <border>
        <left style="thin">
          <color theme="5"/>
        </left>
        <right style="thin">
          <color theme="5"/>
        </right>
        <top style="thin">
          <color theme="5"/>
        </top>
        <bottom style="thin">
          <color theme="5"/>
        </bottom>
      </border>
    </dxf>
  </dxfs>
  <tableStyles count="2" defaultTableStyle="TableStyleMedium2" defaultPivotStyle="PivotStyleLight16">
    <tableStyle name="BK" pivot="0" count="9">
      <tableStyleElement type="wholeTable" dxfId="257"/>
      <tableStyleElement type="headerRow" dxfId="256"/>
      <tableStyleElement type="totalRow" dxfId="255"/>
      <tableStyleElement type="firstColumn" dxfId="254"/>
      <tableStyleElement type="lastColumn" dxfId="253"/>
      <tableStyleElement type="firstRowStripe" dxfId="252"/>
      <tableStyleElement type="secondRowStripe" dxfId="251"/>
      <tableStyleElement type="firstColumnStripe" dxfId="250"/>
      <tableStyleElement type="secondColumnStripe" dxfId="249"/>
    </tableStyle>
    <tableStyle name="BM" pivot="0" count="9">
      <tableStyleElement type="wholeTable" dxfId="248"/>
      <tableStyleElement type="headerRow" dxfId="247"/>
      <tableStyleElement type="totalRow" dxfId="246"/>
      <tableStyleElement type="firstColumn" dxfId="245"/>
      <tableStyleElement type="lastColumn" dxfId="244"/>
      <tableStyleElement type="firstRowStripe" dxfId="243"/>
      <tableStyleElement type="secondRowStripe" dxfId="242"/>
      <tableStyleElement type="firstColumnStripe" dxfId="241"/>
      <tableStyleElement type="secondColumnStripe" dxfId="240"/>
    </tableStyle>
  </tableStyles>
  <colors>
    <mruColors>
      <color rgb="FFEC3338"/>
      <color rgb="FFED3338"/>
      <color rgb="FF33CC33"/>
      <color rgb="FF980B27"/>
      <color rgb="FFB2C8E0"/>
      <color rgb="FFFFF3FE"/>
      <color rgb="FF00CC00"/>
      <color rgb="FFFEE6FB"/>
      <color rgb="FF808080"/>
      <color rgb="FF00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1" Type="http://schemas.openxmlformats.org/officeDocument/2006/relationships/image" Target="../media/image9.PNG"/></Relationships>
</file>

<file path=xl/charts/_rels/chart2.xml.rels><?xml version="1.0" encoding="UTF-8" standalone="yes"?>
<Relationships xmlns="http://schemas.openxmlformats.org/package/2006/relationships"><Relationship Id="rId1" Type="http://schemas.openxmlformats.org/officeDocument/2006/relationships/image" Target="../media/image9.PNG"/></Relationships>
</file>

<file path=xl/charts/_rels/chart3.xml.rels><?xml version="1.0" encoding="UTF-8" standalone="yes"?>
<Relationships xmlns="http://schemas.openxmlformats.org/package/2006/relationships"><Relationship Id="rId1" Type="http://schemas.openxmlformats.org/officeDocument/2006/relationships/image" Target="../media/image9.PNG"/></Relationships>
</file>

<file path=xl/charts/_rels/chart4.xml.rels><?xml version="1.0" encoding="UTF-8" standalone="yes"?>
<Relationships xmlns="http://schemas.openxmlformats.org/package/2006/relationships"><Relationship Id="rId1" Type="http://schemas.openxmlformats.org/officeDocument/2006/relationships/image" Target="../media/image9.PNG"/></Relationships>
</file>

<file path=xl/charts/_rels/chart5.xml.rels><?xml version="1.0" encoding="UTF-8" standalone="yes"?>
<Relationships xmlns="http://schemas.openxmlformats.org/package/2006/relationships"><Relationship Id="rId1" Type="http://schemas.openxmlformats.org/officeDocument/2006/relationships/image" Target="../media/image9.PNG"/></Relationships>
</file>

<file path=xl/charts/_rels/chart6.xml.rels><?xml version="1.0" encoding="UTF-8" standalone="yes"?>
<Relationships xmlns="http://schemas.openxmlformats.org/package/2006/relationships"><Relationship Id="rId1" Type="http://schemas.openxmlformats.org/officeDocument/2006/relationships/image" Target="../media/image9.PNG"/></Relationships>
</file>

<file path=xl/charts/_rels/chart7.xml.rels><?xml version="1.0" encoding="UTF-8" standalone="yes"?>
<Relationships xmlns="http://schemas.openxmlformats.org/package/2006/relationships"><Relationship Id="rId3" Type="http://schemas.openxmlformats.org/officeDocument/2006/relationships/image" Target="../media/image10.PNG"/><Relationship Id="rId2" Type="http://schemas.microsoft.com/office/2011/relationships/chartColorStyle" Target="colors1.xml"/><Relationship Id="rId1" Type="http://schemas.microsoft.com/office/2011/relationships/chartStyle" Target="style1.xml"/></Relationships>
</file>

<file path=xl/charts/_rels/chart8.xml.rels><?xml version="1.0" encoding="UTF-8" standalone="yes"?>
<Relationships xmlns="http://schemas.openxmlformats.org/package/2006/relationships"><Relationship Id="rId3" Type="http://schemas.openxmlformats.org/officeDocument/2006/relationships/image" Target="../media/image10.PNG"/><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latin typeface="Candara" panose="020E0502030303020204" pitchFamily="34" charset="0"/>
              </a:defRPr>
            </a:pPr>
            <a:r>
              <a:rPr lang="en-US">
                <a:latin typeface="Candara" panose="020E0502030303020204" pitchFamily="34" charset="0"/>
              </a:rPr>
              <a:t>Riesgo inherente</a:t>
            </a:r>
          </a:p>
        </c:rich>
      </c:tx>
      <c:layout/>
      <c:overlay val="1"/>
    </c:title>
    <c:autoTitleDeleted val="0"/>
    <c:plotArea>
      <c:layout>
        <c:manualLayout>
          <c:layoutTarget val="inner"/>
          <c:xMode val="edge"/>
          <c:yMode val="edge"/>
          <c:x val="9.7565195273607616E-2"/>
          <c:y val="0.10108798707853826"/>
          <c:w val="0.87429977083632382"/>
          <c:h val="0.80337411669695136"/>
        </c:manualLayout>
      </c:layout>
      <c:scatterChart>
        <c:scatterStyle val="lineMarker"/>
        <c:varyColors val="0"/>
        <c:ser>
          <c:idx val="1"/>
          <c:order val="1"/>
          <c:tx>
            <c:v>RI</c:v>
          </c:tx>
          <c:spPr>
            <a:ln>
              <a:noFill/>
            </a:ln>
          </c:spPr>
          <c:xVal>
            <c:numRef>
              <c:f>'R I'!$AK$3</c:f>
              <c:numCache>
                <c:formatCode>0.00</c:formatCode>
                <c:ptCount val="1"/>
                <c:pt idx="0">
                  <c:v>3.4055555555555554</c:v>
                </c:pt>
              </c:numCache>
            </c:numRef>
          </c:xVal>
          <c:yVal>
            <c:numRef>
              <c:f>'R I'!$AJ$3</c:f>
              <c:numCache>
                <c:formatCode>0.00</c:formatCode>
                <c:ptCount val="1"/>
                <c:pt idx="0">
                  <c:v>2.7333333333333334</c:v>
                </c:pt>
              </c:numCache>
            </c:numRef>
          </c:yVal>
          <c:smooth val="0"/>
          <c:extLst>
            <c:ext xmlns:c16="http://schemas.microsoft.com/office/drawing/2014/chart" uri="{C3380CC4-5D6E-409C-BE32-E72D297353CC}">
              <c16:uniqueId val="{00000000-79BB-42DD-BBA3-B14D004FDA12}"/>
            </c:ext>
          </c:extLst>
        </c:ser>
        <c:ser>
          <c:idx val="0"/>
          <c:order val="0"/>
          <c:tx>
            <c:v>RI</c:v>
          </c:tx>
          <c:spPr>
            <a:ln>
              <a:noFill/>
            </a:ln>
          </c:spPr>
          <c:marker>
            <c:symbol val="circle"/>
            <c:size val="23"/>
            <c:spPr>
              <a:gradFill>
                <a:gsLst>
                  <a:gs pos="0">
                    <a:schemeClr val="bg1">
                      <a:lumMod val="50000"/>
                    </a:schemeClr>
                  </a:gs>
                  <a:gs pos="94000">
                    <a:schemeClr val="accent1">
                      <a:tint val="44500"/>
                      <a:satMod val="160000"/>
                    </a:schemeClr>
                  </a:gs>
                  <a:gs pos="100000">
                    <a:schemeClr val="accent1">
                      <a:tint val="23500"/>
                      <a:satMod val="160000"/>
                    </a:schemeClr>
                  </a:gs>
                </a:gsLst>
                <a:lin ang="5400000" scaled="0"/>
              </a:gradFill>
              <a:ln>
                <a:noFill/>
              </a:ln>
            </c:spPr>
          </c:marker>
          <c:dLbls>
            <c:spPr>
              <a:noFill/>
              <a:ln>
                <a:noFill/>
              </a:ln>
              <a:effectLst/>
            </c:spPr>
            <c:txPr>
              <a:bodyPr/>
              <a:lstStyle/>
              <a:p>
                <a:pPr>
                  <a:defRPr sz="1600" b="1"/>
                </a:pPr>
                <a:endParaRPr lang="es-CO"/>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'R I'!$AK$3</c:f>
              <c:numCache>
                <c:formatCode>0.00</c:formatCode>
                <c:ptCount val="1"/>
                <c:pt idx="0">
                  <c:v>3.4055555555555554</c:v>
                </c:pt>
              </c:numCache>
            </c:numRef>
          </c:xVal>
          <c:yVal>
            <c:numRef>
              <c:f>'R I'!$AJ$3</c:f>
              <c:numCache>
                <c:formatCode>0.00</c:formatCode>
                <c:ptCount val="1"/>
                <c:pt idx="0">
                  <c:v>2.7333333333333334</c:v>
                </c:pt>
              </c:numCache>
            </c:numRef>
          </c:yVal>
          <c:smooth val="0"/>
          <c:extLst>
            <c:ext xmlns:c16="http://schemas.microsoft.com/office/drawing/2014/chart" uri="{C3380CC4-5D6E-409C-BE32-E72D297353CC}">
              <c16:uniqueId val="{00000001-79BB-42DD-BBA3-B14D004FDA12}"/>
            </c:ext>
          </c:extLst>
        </c:ser>
        <c:dLbls>
          <c:showLegendKey val="0"/>
          <c:showVal val="0"/>
          <c:showCatName val="0"/>
          <c:showSerName val="0"/>
          <c:showPercent val="0"/>
          <c:showBubbleSize val="0"/>
        </c:dLbls>
        <c:axId val="-83952016"/>
        <c:axId val="-83947120"/>
      </c:scatterChart>
      <c:valAx>
        <c:axId val="-83952016"/>
        <c:scaling>
          <c:orientation val="minMax"/>
          <c:max val="5"/>
          <c:min val="0"/>
        </c:scaling>
        <c:delete val="0"/>
        <c:axPos val="b"/>
        <c:title>
          <c:tx>
            <c:rich>
              <a:bodyPr/>
              <a:lstStyle/>
              <a:p>
                <a:pPr>
                  <a:defRPr sz="1400">
                    <a:latin typeface="Candara" panose="020E0502030303020204" pitchFamily="34" charset="0"/>
                  </a:defRPr>
                </a:pPr>
                <a:r>
                  <a:rPr lang="es-CO" sz="1400">
                    <a:latin typeface="Candara" panose="020E0502030303020204" pitchFamily="34" charset="0"/>
                  </a:rPr>
                  <a:t>Valoración consecuencia</a:t>
                </a:r>
              </a:p>
            </c:rich>
          </c:tx>
          <c:layout/>
          <c:overlay val="0"/>
        </c:title>
        <c:numFmt formatCode="0.00" sourceLinked="1"/>
        <c:majorTickMark val="none"/>
        <c:minorTickMark val="none"/>
        <c:tickLblPos val="nextTo"/>
        <c:txPr>
          <a:bodyPr/>
          <a:lstStyle/>
          <a:p>
            <a:pPr>
              <a:defRPr>
                <a:solidFill>
                  <a:schemeClr val="bg1"/>
                </a:solidFill>
              </a:defRPr>
            </a:pPr>
            <a:endParaRPr lang="es-CO"/>
          </a:p>
        </c:txPr>
        <c:crossAx val="-83947120"/>
        <c:crosses val="autoZero"/>
        <c:crossBetween val="midCat"/>
        <c:majorUnit val="1"/>
      </c:valAx>
      <c:valAx>
        <c:axId val="-83947120"/>
        <c:scaling>
          <c:orientation val="minMax"/>
          <c:max val="5.5"/>
          <c:min val="0.5"/>
        </c:scaling>
        <c:delete val="0"/>
        <c:axPos val="l"/>
        <c:title>
          <c:tx>
            <c:rich>
              <a:bodyPr rot="-5400000" vert="horz"/>
              <a:lstStyle/>
              <a:p>
                <a:pPr>
                  <a:defRPr sz="1400">
                    <a:latin typeface="Candara" panose="020E0502030303020204" pitchFamily="34" charset="0"/>
                  </a:defRPr>
                </a:pPr>
                <a:r>
                  <a:rPr lang="es-CO" sz="1400">
                    <a:latin typeface="Candara" panose="020E0502030303020204" pitchFamily="34" charset="0"/>
                  </a:rPr>
                  <a:t>Probabilidad</a:t>
                </a:r>
              </a:p>
            </c:rich>
          </c:tx>
          <c:layout/>
          <c:overlay val="0"/>
        </c:title>
        <c:numFmt formatCode="0.00" sourceLinked="1"/>
        <c:majorTickMark val="none"/>
        <c:minorTickMark val="none"/>
        <c:tickLblPos val="nextTo"/>
        <c:txPr>
          <a:bodyPr/>
          <a:lstStyle/>
          <a:p>
            <a:pPr>
              <a:defRPr>
                <a:solidFill>
                  <a:schemeClr val="bg1"/>
                </a:solidFill>
              </a:defRPr>
            </a:pPr>
            <a:endParaRPr lang="es-CO"/>
          </a:p>
        </c:txPr>
        <c:crossAx val="-83952016"/>
        <c:crosses val="autoZero"/>
        <c:crossBetween val="midCat"/>
        <c:majorUnit val="1"/>
        <c:minorUnit val="0.2"/>
      </c:valAx>
      <c:spPr>
        <a:blipFill>
          <a:blip xmlns:r="http://schemas.openxmlformats.org/officeDocument/2006/relationships" r:embed="rId1"/>
          <a:stretch>
            <a:fillRect/>
          </a:stretch>
        </a:blipFill>
      </c:spPr>
    </c:plotArea>
    <c:plotVisOnly val="1"/>
    <c:dispBlanksAs val="gap"/>
    <c:showDLblsOverMax val="0"/>
  </c:chart>
  <c:spPr>
    <a:noFill/>
    <a:ln>
      <a:no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latin typeface="Candara" panose="020E0502030303020204" pitchFamily="34" charset="0"/>
              </a:defRPr>
            </a:pPr>
            <a:r>
              <a:rPr lang="en-US">
                <a:latin typeface="Candara" panose="020E0502030303020204" pitchFamily="34" charset="0"/>
              </a:rPr>
              <a:t>Riesgo inherente por factor de riesgo</a:t>
            </a:r>
          </a:p>
        </c:rich>
      </c:tx>
      <c:layout/>
      <c:overlay val="1"/>
    </c:title>
    <c:autoTitleDeleted val="0"/>
    <c:plotArea>
      <c:layout>
        <c:manualLayout>
          <c:layoutTarget val="inner"/>
          <c:xMode val="edge"/>
          <c:yMode val="edge"/>
          <c:x val="9.7453731917325495E-2"/>
          <c:y val="0.12592957556998138"/>
          <c:w val="0.87429977083632382"/>
          <c:h val="0.80337411669695136"/>
        </c:manualLayout>
      </c:layout>
      <c:scatterChart>
        <c:scatterStyle val="lineMarker"/>
        <c:varyColors val="0"/>
        <c:ser>
          <c:idx val="0"/>
          <c:order val="0"/>
          <c:tx>
            <c:strRef>
              <c:f>'Mapa de riesgo'!$I$1</c:f>
              <c:strCache>
                <c:ptCount val="1"/>
                <c:pt idx="0">
                  <c:v>P</c:v>
                </c:pt>
              </c:strCache>
            </c:strRef>
          </c:tx>
          <c:spPr>
            <a:ln w="28575">
              <a:solidFill>
                <a:schemeClr val="tx1"/>
              </a:solidFill>
            </a:ln>
          </c:spPr>
          <c:marker>
            <c:symbol val="circle"/>
            <c:size val="21"/>
            <c:spPr>
              <a:solidFill>
                <a:schemeClr val="tx1"/>
              </a:solidFill>
              <a:ln>
                <a:solidFill>
                  <a:schemeClr val="tx1"/>
                </a:solidFill>
              </a:ln>
            </c:spPr>
          </c:marker>
          <c:dLbls>
            <c:spPr>
              <a:noFill/>
              <a:ln>
                <a:noFill/>
              </a:ln>
              <a:effectLst/>
            </c:spPr>
            <c:txPr>
              <a:bodyPr/>
              <a:lstStyle/>
              <a:p>
                <a:pPr>
                  <a:defRPr sz="1200">
                    <a:solidFill>
                      <a:schemeClr val="bg1"/>
                    </a:solidFill>
                  </a:defRPr>
                </a:pPr>
                <a:endParaRPr lang="es-CO"/>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'RI Consolidado por FR'!$D$6</c:f>
              <c:numCache>
                <c:formatCode>0.00</c:formatCode>
                <c:ptCount val="1"/>
                <c:pt idx="0">
                  <c:v>3.5</c:v>
                </c:pt>
              </c:numCache>
            </c:numRef>
          </c:xVal>
          <c:yVal>
            <c:numRef>
              <c:f>'RI Consolidado por FR'!$C$6</c:f>
              <c:numCache>
                <c:formatCode>0.00</c:formatCode>
                <c:ptCount val="1"/>
                <c:pt idx="0">
                  <c:v>2</c:v>
                </c:pt>
              </c:numCache>
            </c:numRef>
          </c:yVal>
          <c:smooth val="0"/>
          <c:extLst>
            <c:ext xmlns:c16="http://schemas.microsoft.com/office/drawing/2014/chart" uri="{C3380CC4-5D6E-409C-BE32-E72D297353CC}">
              <c16:uniqueId val="{00000000-1359-4FC7-A098-399432954BDD}"/>
            </c:ext>
          </c:extLst>
        </c:ser>
        <c:ser>
          <c:idx val="1"/>
          <c:order val="1"/>
          <c:tx>
            <c:strRef>
              <c:f>'Mapa de riesgo'!$I$2</c:f>
              <c:strCache>
                <c:ptCount val="1"/>
                <c:pt idx="0">
                  <c:v>C</c:v>
                </c:pt>
              </c:strCache>
            </c:strRef>
          </c:tx>
          <c:spPr>
            <a:ln w="28575">
              <a:noFill/>
            </a:ln>
          </c:spPr>
          <c:marker>
            <c:symbol val="circle"/>
            <c:size val="21"/>
            <c:spPr>
              <a:solidFill>
                <a:srgbClr val="6F2927"/>
              </a:solidFill>
              <a:ln>
                <a:solidFill>
                  <a:srgbClr val="6F2927"/>
                </a:solidFill>
              </a:ln>
            </c:spPr>
          </c:marker>
          <c:dLbls>
            <c:spPr>
              <a:noFill/>
              <a:ln>
                <a:noFill/>
              </a:ln>
              <a:effectLst/>
            </c:spPr>
            <c:txPr>
              <a:bodyPr/>
              <a:lstStyle/>
              <a:p>
                <a:pPr>
                  <a:defRPr sz="1200">
                    <a:solidFill>
                      <a:schemeClr val="bg1"/>
                    </a:solidFill>
                  </a:defRPr>
                </a:pPr>
                <a:endParaRPr lang="es-CO"/>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'RI Consolidado por FR'!$D$7</c:f>
              <c:numCache>
                <c:formatCode>0.00</c:formatCode>
                <c:ptCount val="1"/>
                <c:pt idx="0">
                  <c:v>3</c:v>
                </c:pt>
              </c:numCache>
            </c:numRef>
          </c:xVal>
          <c:yVal>
            <c:numRef>
              <c:f>'RI Consolidado por FR'!$C$7</c:f>
              <c:numCache>
                <c:formatCode>0.00</c:formatCode>
                <c:ptCount val="1"/>
                <c:pt idx="0">
                  <c:v>3</c:v>
                </c:pt>
              </c:numCache>
            </c:numRef>
          </c:yVal>
          <c:smooth val="0"/>
          <c:extLst>
            <c:ext xmlns:c16="http://schemas.microsoft.com/office/drawing/2014/chart" uri="{C3380CC4-5D6E-409C-BE32-E72D297353CC}">
              <c16:uniqueId val="{00000001-1359-4FC7-A098-399432954BDD}"/>
            </c:ext>
          </c:extLst>
        </c:ser>
        <c:ser>
          <c:idx val="2"/>
          <c:order val="2"/>
          <c:tx>
            <c:strRef>
              <c:f>'Mapa de riesgo'!$I$3</c:f>
              <c:strCache>
                <c:ptCount val="1"/>
                <c:pt idx="0">
                  <c:v>J</c:v>
                </c:pt>
              </c:strCache>
            </c:strRef>
          </c:tx>
          <c:spPr>
            <a:ln w="28575">
              <a:noFill/>
            </a:ln>
          </c:spPr>
          <c:marker>
            <c:symbol val="circle"/>
            <c:size val="20"/>
            <c:spPr>
              <a:solidFill>
                <a:srgbClr val="002060"/>
              </a:solidFill>
              <a:ln>
                <a:solidFill>
                  <a:srgbClr val="002060"/>
                </a:solidFill>
              </a:ln>
            </c:spPr>
          </c:marker>
          <c:dLbls>
            <c:spPr>
              <a:noFill/>
              <a:ln>
                <a:noFill/>
              </a:ln>
              <a:effectLst/>
            </c:spPr>
            <c:txPr>
              <a:bodyPr/>
              <a:lstStyle/>
              <a:p>
                <a:pPr>
                  <a:defRPr sz="1200">
                    <a:solidFill>
                      <a:schemeClr val="bg1"/>
                    </a:solidFill>
                  </a:defRPr>
                </a:pPr>
                <a:endParaRPr lang="es-CO"/>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'RI Consolidado por FR'!#REF!</c:f>
            </c:numRef>
          </c:xVal>
          <c:yVal>
            <c:numRef>
              <c:f>'RI Consolidado por FR'!#REF!</c:f>
              <c:numCache>
                <c:formatCode>General</c:formatCode>
                <c:ptCount val="1"/>
                <c:pt idx="0">
                  <c:v>1</c:v>
                </c:pt>
              </c:numCache>
            </c:numRef>
          </c:yVal>
          <c:smooth val="0"/>
          <c:extLst>
            <c:ext xmlns:c16="http://schemas.microsoft.com/office/drawing/2014/chart" uri="{C3380CC4-5D6E-409C-BE32-E72D297353CC}">
              <c16:uniqueId val="{00000002-1359-4FC7-A098-399432954BDD}"/>
            </c:ext>
          </c:extLst>
        </c:ser>
        <c:ser>
          <c:idx val="3"/>
          <c:order val="3"/>
          <c:tx>
            <c:strRef>
              <c:f>'Mapa de riesgo'!$I$4</c:f>
              <c:strCache>
                <c:ptCount val="1"/>
                <c:pt idx="0">
                  <c:v>S</c:v>
                </c:pt>
              </c:strCache>
            </c:strRef>
          </c:tx>
          <c:spPr>
            <a:ln>
              <a:solidFill>
                <a:schemeClr val="accent1"/>
              </a:solidFill>
            </a:ln>
          </c:spPr>
          <c:marker>
            <c:symbol val="circle"/>
            <c:size val="20"/>
            <c:spPr>
              <a:solidFill>
                <a:schemeClr val="tx2">
                  <a:lumMod val="60000"/>
                  <a:lumOff val="40000"/>
                </a:schemeClr>
              </a:solidFill>
            </c:spPr>
          </c:marker>
          <c:dLbls>
            <c:spPr>
              <a:noFill/>
              <a:ln>
                <a:noFill/>
              </a:ln>
              <a:effectLst/>
            </c:spPr>
            <c:txPr>
              <a:bodyPr/>
              <a:lstStyle/>
              <a:p>
                <a:pPr>
                  <a:defRPr sz="1400">
                    <a:solidFill>
                      <a:schemeClr val="bg1"/>
                    </a:solidFill>
                  </a:defRPr>
                </a:pPr>
                <a:endParaRPr lang="es-CO"/>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'RI Consolidado por FR'!$D$8</c:f>
              <c:numCache>
                <c:formatCode>0.00</c:formatCode>
                <c:ptCount val="1"/>
                <c:pt idx="0">
                  <c:v>3.2666666666666666</c:v>
                </c:pt>
              </c:numCache>
            </c:numRef>
          </c:xVal>
          <c:yVal>
            <c:numRef>
              <c:f>'RI Consolidado por FR'!$C$8</c:f>
              <c:numCache>
                <c:formatCode>0.00</c:formatCode>
                <c:ptCount val="1"/>
                <c:pt idx="0">
                  <c:v>2.4</c:v>
                </c:pt>
              </c:numCache>
            </c:numRef>
          </c:yVal>
          <c:smooth val="0"/>
          <c:extLst>
            <c:ext xmlns:c16="http://schemas.microsoft.com/office/drawing/2014/chart" uri="{C3380CC4-5D6E-409C-BE32-E72D297353CC}">
              <c16:uniqueId val="{00000003-1359-4FC7-A098-399432954BDD}"/>
            </c:ext>
          </c:extLst>
        </c:ser>
        <c:ser>
          <c:idx val="5"/>
          <c:order val="4"/>
          <c:tx>
            <c:strRef>
              <c:f>Tablas1!$J$7</c:f>
              <c:strCache>
                <c:ptCount val="1"/>
                <c:pt idx="0">
                  <c:v>Cl</c:v>
                </c:pt>
              </c:strCache>
            </c:strRef>
          </c:tx>
          <c:dLbls>
            <c:dLbl>
              <c:idx val="0"/>
              <c:spPr>
                <a:solidFill>
                  <a:schemeClr val="accent4"/>
                </a:solidFill>
              </c:spPr>
              <c:txPr>
                <a:bodyPr/>
                <a:lstStyle/>
                <a:p>
                  <a:pPr>
                    <a:defRPr b="1"/>
                  </a:pPr>
                  <a:endParaRPr lang="es-CO"/>
                </a:p>
              </c:txPr>
              <c:dLblPos val="ctr"/>
              <c:showLegendKey val="0"/>
              <c:showVal val="0"/>
              <c:showCatName val="0"/>
              <c:showSerName val="1"/>
              <c:showPercent val="0"/>
              <c:showBubbleSize val="0"/>
              <c:extLst>
                <c:ext xmlns:c15="http://schemas.microsoft.com/office/drawing/2012/chart" uri="{CE6537A1-D6FC-4f65-9D91-7224C49458BB}">
                  <c15:spPr xmlns:c15="http://schemas.microsoft.com/office/drawing/2012/chart">
                    <a:prstGeom prst="ellipse">
                      <a:avLst/>
                    </a:prstGeom>
                  </c15:spPr>
                </c:ext>
                <c:ext xmlns:c16="http://schemas.microsoft.com/office/drawing/2014/chart" uri="{C3380CC4-5D6E-409C-BE32-E72D297353CC}">
                  <c16:uniqueId val="{00000003-36CB-4EC2-852B-51C09FF2947F}"/>
                </c:ext>
              </c:extLst>
            </c:dLbl>
            <c:spPr>
              <a:solidFill>
                <a:sysClr val="window" lastClr="FFFFFF"/>
              </a:solidFill>
              <a:ln>
                <a:solidFill>
                  <a:sysClr val="windowText" lastClr="000000">
                    <a:lumMod val="65000"/>
                    <a:lumOff val="35000"/>
                  </a:sysClr>
                </a:solidFill>
              </a:ln>
              <a:effectLst/>
            </c:spPr>
            <c:txPr>
              <a:bodyPr/>
              <a:lstStyle/>
              <a:p>
                <a:pPr>
                  <a:defRPr b="1"/>
                </a:pPr>
                <a:endParaRPr lang="es-CO"/>
              </a:p>
            </c:txPr>
            <c:dLblPos val="ct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ellipse">
                    <a:avLst/>
                  </a:prstGeom>
                </c15:spPr>
                <c15:showLeaderLines val="0"/>
              </c:ext>
            </c:extLst>
          </c:dLbls>
          <c:xVal>
            <c:numRef>
              <c:f>'RI Consolidado por FR'!$D$9</c:f>
              <c:numCache>
                <c:formatCode>0.00</c:formatCode>
                <c:ptCount val="1"/>
                <c:pt idx="0">
                  <c:v>3.75</c:v>
                </c:pt>
              </c:numCache>
            </c:numRef>
          </c:xVal>
          <c:yVal>
            <c:numRef>
              <c:f>'RI Consolidado por FR'!$C$9</c:f>
              <c:numCache>
                <c:formatCode>0.00</c:formatCode>
                <c:ptCount val="1"/>
                <c:pt idx="0">
                  <c:v>3</c:v>
                </c:pt>
              </c:numCache>
            </c:numRef>
          </c:yVal>
          <c:smooth val="0"/>
          <c:extLst>
            <c:ext xmlns:c16="http://schemas.microsoft.com/office/drawing/2014/chart" uri="{C3380CC4-5D6E-409C-BE32-E72D297353CC}">
              <c16:uniqueId val="{00000004-1359-4FC7-A098-399432954BDD}"/>
            </c:ext>
          </c:extLst>
        </c:ser>
        <c:ser>
          <c:idx val="4"/>
          <c:order val="5"/>
          <c:tx>
            <c:strRef>
              <c:f>Tablas1!$J$8</c:f>
              <c:strCache>
                <c:ptCount val="1"/>
                <c:pt idx="0">
                  <c:v>Di</c:v>
                </c:pt>
              </c:strCache>
            </c:strRef>
          </c:tx>
          <c:dLbls>
            <c:dLbl>
              <c:idx val="0"/>
              <c:spPr>
                <a:solidFill>
                  <a:schemeClr val="accent3"/>
                </a:solidFill>
              </c:spPr>
              <c:txPr>
                <a:bodyPr/>
                <a:lstStyle/>
                <a:p>
                  <a:pPr>
                    <a:defRPr sz="800" b="1"/>
                  </a:pPr>
                  <a:endParaRPr lang="es-CO"/>
                </a:p>
              </c:txPr>
              <c:dLblPos val="ctr"/>
              <c:showLegendKey val="0"/>
              <c:showVal val="0"/>
              <c:showCatName val="0"/>
              <c:showSerName val="1"/>
              <c:showPercent val="0"/>
              <c:showBubbleSize val="0"/>
              <c:extLst>
                <c:ext xmlns:c15="http://schemas.microsoft.com/office/drawing/2012/chart" uri="{CE6537A1-D6FC-4f65-9D91-7224C49458BB}">
                  <c15:spPr xmlns:c15="http://schemas.microsoft.com/office/drawing/2012/chart">
                    <a:prstGeom prst="ellipse">
                      <a:avLst/>
                    </a:prstGeom>
                  </c15:spPr>
                </c:ext>
                <c:ext xmlns:c16="http://schemas.microsoft.com/office/drawing/2014/chart" uri="{C3380CC4-5D6E-409C-BE32-E72D297353CC}">
                  <c16:uniqueId val="{00000002-36CB-4EC2-852B-51C09FF2947F}"/>
                </c:ext>
              </c:extLst>
            </c:dLbl>
            <c:spPr>
              <a:solidFill>
                <a:sysClr val="window" lastClr="FFFFFF"/>
              </a:solidFill>
              <a:ln>
                <a:solidFill>
                  <a:sysClr val="windowText" lastClr="000000">
                    <a:lumMod val="65000"/>
                    <a:lumOff val="35000"/>
                  </a:sysClr>
                </a:solidFill>
              </a:ln>
              <a:effectLst/>
            </c:spPr>
            <c:dLblPos val="ct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ellipse">
                    <a:avLst/>
                  </a:prstGeom>
                </c15:spPr>
                <c15:showLeaderLines val="0"/>
              </c:ext>
            </c:extLst>
          </c:dLbls>
          <c:xVal>
            <c:numRef>
              <c:f>'RI Consolidado por FR'!$D$10</c:f>
              <c:numCache>
                <c:formatCode>0.00</c:formatCode>
                <c:ptCount val="1"/>
                <c:pt idx="0">
                  <c:v>4</c:v>
                </c:pt>
              </c:numCache>
            </c:numRef>
          </c:xVal>
          <c:yVal>
            <c:numRef>
              <c:f>'RI Consolidado por FR'!$C$10</c:f>
              <c:numCache>
                <c:formatCode>0.00</c:formatCode>
                <c:ptCount val="1"/>
                <c:pt idx="0">
                  <c:v>4</c:v>
                </c:pt>
              </c:numCache>
            </c:numRef>
          </c:yVal>
          <c:smooth val="0"/>
          <c:extLst>
            <c:ext xmlns:c16="http://schemas.microsoft.com/office/drawing/2014/chart" uri="{C3380CC4-5D6E-409C-BE32-E72D297353CC}">
              <c16:uniqueId val="{00000005-1359-4FC7-A098-399432954BDD}"/>
            </c:ext>
          </c:extLst>
        </c:ser>
        <c:ser>
          <c:idx val="6"/>
          <c:order val="6"/>
          <c:tx>
            <c:strRef>
              <c:f>Tablas1!$J$9</c:f>
              <c:strCache>
                <c:ptCount val="1"/>
                <c:pt idx="0">
                  <c:v>Co</c:v>
                </c:pt>
              </c:strCache>
            </c:strRef>
          </c:tx>
          <c:dLbls>
            <c:dLbl>
              <c:idx val="0"/>
              <c:spPr/>
              <c:txPr>
                <a:bodyPr/>
                <a:lstStyle/>
                <a:p>
                  <a:pPr>
                    <a:defRPr sz="850" b="1"/>
                  </a:pPr>
                  <a:endParaRPr lang="es-CO"/>
                </a:p>
              </c:txPr>
              <c:dLblPos val="ctr"/>
              <c:showLegendKey val="0"/>
              <c:showVal val="0"/>
              <c:showCatName val="0"/>
              <c:showSerName val="1"/>
              <c:showPercent val="0"/>
              <c:showBubbleSize val="0"/>
              <c:extLst>
                <c:ext xmlns:c15="http://schemas.microsoft.com/office/drawing/2012/chart" uri="{CE6537A1-D6FC-4f65-9D91-7224C49458BB}">
                  <c15:spPr xmlns:c15="http://schemas.microsoft.com/office/drawing/2012/chart">
                    <a:prstGeom prst="ellipse">
                      <a:avLst/>
                    </a:prstGeom>
                  </c15:spPr>
                </c:ext>
                <c:ext xmlns:c16="http://schemas.microsoft.com/office/drawing/2014/chart" uri="{C3380CC4-5D6E-409C-BE32-E72D297353CC}">
                  <c16:uniqueId val="{00000001-36CB-4EC2-852B-51C09FF2947F}"/>
                </c:ext>
              </c:extLst>
            </c:dLbl>
            <c:spPr>
              <a:solidFill>
                <a:sysClr val="window" lastClr="FFFFFF"/>
              </a:solidFill>
              <a:ln>
                <a:solidFill>
                  <a:sysClr val="windowText" lastClr="000000">
                    <a:lumMod val="65000"/>
                    <a:lumOff val="35000"/>
                  </a:sysClr>
                </a:solidFill>
              </a:ln>
              <a:effectLst/>
            </c:spPr>
            <c:dLblPos val="ct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ellipse">
                    <a:avLst/>
                  </a:prstGeom>
                </c15:spPr>
                <c15:showLeaderLines val="0"/>
              </c:ext>
            </c:extLst>
          </c:dLbls>
          <c:xVal>
            <c:numRef>
              <c:f>'RI Consolidado por FR'!#REF!</c:f>
            </c:numRef>
          </c:xVal>
          <c:yVal>
            <c:numRef>
              <c:f>'RI Consolidado por FR'!#REF!</c:f>
              <c:numCache>
                <c:formatCode>General</c:formatCode>
                <c:ptCount val="1"/>
                <c:pt idx="0">
                  <c:v>1</c:v>
                </c:pt>
              </c:numCache>
            </c:numRef>
          </c:yVal>
          <c:smooth val="0"/>
          <c:extLst>
            <c:ext xmlns:c16="http://schemas.microsoft.com/office/drawing/2014/chart" uri="{C3380CC4-5D6E-409C-BE32-E72D297353CC}">
              <c16:uniqueId val="{00000006-1359-4FC7-A098-399432954BDD}"/>
            </c:ext>
          </c:extLst>
        </c:ser>
        <c:ser>
          <c:idx val="7"/>
          <c:order val="7"/>
          <c:tx>
            <c:strRef>
              <c:f>Tablas1!$J$10</c:f>
              <c:strCache>
                <c:ptCount val="1"/>
                <c:pt idx="0">
                  <c:v>Di</c:v>
                </c:pt>
              </c:strCache>
            </c:strRef>
          </c:tx>
          <c:xVal>
            <c:numRef>
              <c:f>'RI Consolidado por FR'!#REF!</c:f>
            </c:numRef>
          </c:xVal>
          <c:yVal>
            <c:numRef>
              <c:f>'RI Consolidado por FR'!#REF!</c:f>
              <c:numCache>
                <c:formatCode>General</c:formatCode>
                <c:ptCount val="1"/>
                <c:pt idx="0">
                  <c:v>1</c:v>
                </c:pt>
              </c:numCache>
            </c:numRef>
          </c:yVal>
          <c:smooth val="0"/>
          <c:extLst>
            <c:ext xmlns:c16="http://schemas.microsoft.com/office/drawing/2014/chart" uri="{C3380CC4-5D6E-409C-BE32-E72D297353CC}">
              <c16:uniqueId val="{00000007-1359-4FC7-A098-399432954BDD}"/>
            </c:ext>
          </c:extLst>
        </c:ser>
        <c:dLbls>
          <c:showLegendKey val="0"/>
          <c:showVal val="0"/>
          <c:showCatName val="0"/>
          <c:showSerName val="0"/>
          <c:showPercent val="0"/>
          <c:showBubbleSize val="0"/>
        </c:dLbls>
        <c:axId val="-83945488"/>
        <c:axId val="-83938960"/>
      </c:scatterChart>
      <c:valAx>
        <c:axId val="-83945488"/>
        <c:scaling>
          <c:orientation val="minMax"/>
          <c:max val="5.5"/>
          <c:min val="0.5"/>
        </c:scaling>
        <c:delete val="0"/>
        <c:axPos val="b"/>
        <c:title>
          <c:tx>
            <c:rich>
              <a:bodyPr/>
              <a:lstStyle/>
              <a:p>
                <a:pPr>
                  <a:defRPr sz="1400">
                    <a:latin typeface="Candara" panose="020E0502030303020204" pitchFamily="34" charset="0"/>
                  </a:defRPr>
                </a:pPr>
                <a:r>
                  <a:rPr lang="es-CO" sz="1400">
                    <a:latin typeface="Candara" panose="020E0502030303020204" pitchFamily="34" charset="0"/>
                  </a:rPr>
                  <a:t>Valoración consecuencia</a:t>
                </a:r>
              </a:p>
            </c:rich>
          </c:tx>
          <c:layout/>
          <c:overlay val="0"/>
        </c:title>
        <c:numFmt formatCode="0.00" sourceLinked="1"/>
        <c:majorTickMark val="none"/>
        <c:minorTickMark val="none"/>
        <c:tickLblPos val="nextTo"/>
        <c:txPr>
          <a:bodyPr/>
          <a:lstStyle/>
          <a:p>
            <a:pPr>
              <a:defRPr>
                <a:solidFill>
                  <a:schemeClr val="bg1"/>
                </a:solidFill>
              </a:defRPr>
            </a:pPr>
            <a:endParaRPr lang="es-CO"/>
          </a:p>
        </c:txPr>
        <c:crossAx val="-83938960"/>
        <c:crosses val="autoZero"/>
        <c:crossBetween val="midCat"/>
        <c:majorUnit val="0.5"/>
      </c:valAx>
      <c:valAx>
        <c:axId val="-83938960"/>
        <c:scaling>
          <c:orientation val="minMax"/>
          <c:max val="5.5"/>
          <c:min val="0.5"/>
        </c:scaling>
        <c:delete val="0"/>
        <c:axPos val="l"/>
        <c:title>
          <c:tx>
            <c:rich>
              <a:bodyPr rot="-5400000" vert="horz"/>
              <a:lstStyle/>
              <a:p>
                <a:pPr>
                  <a:defRPr sz="1400">
                    <a:latin typeface="Candara" panose="020E0502030303020204" pitchFamily="34" charset="0"/>
                  </a:defRPr>
                </a:pPr>
                <a:r>
                  <a:rPr lang="es-CO" sz="1400">
                    <a:latin typeface="Candara" panose="020E0502030303020204" pitchFamily="34" charset="0"/>
                  </a:rPr>
                  <a:t>Probabilidad</a:t>
                </a:r>
              </a:p>
            </c:rich>
          </c:tx>
          <c:layout/>
          <c:overlay val="0"/>
        </c:title>
        <c:numFmt formatCode="0.00" sourceLinked="1"/>
        <c:majorTickMark val="none"/>
        <c:minorTickMark val="none"/>
        <c:tickLblPos val="nextTo"/>
        <c:txPr>
          <a:bodyPr/>
          <a:lstStyle/>
          <a:p>
            <a:pPr>
              <a:defRPr>
                <a:solidFill>
                  <a:schemeClr val="bg1"/>
                </a:solidFill>
              </a:defRPr>
            </a:pPr>
            <a:endParaRPr lang="es-CO"/>
          </a:p>
        </c:txPr>
        <c:crossAx val="-83945488"/>
        <c:crosses val="autoZero"/>
        <c:crossBetween val="midCat"/>
        <c:majorUnit val="0.5"/>
      </c:valAx>
      <c:spPr>
        <a:blipFill>
          <a:blip xmlns:r="http://schemas.openxmlformats.org/officeDocument/2006/relationships" r:embed="rId1"/>
          <a:stretch>
            <a:fillRect/>
          </a:stretch>
        </a:blipFill>
      </c:spPr>
    </c:plotArea>
    <c:plotVisOnly val="1"/>
    <c:dispBlanksAs val="gap"/>
    <c:showDLblsOverMax val="0"/>
  </c:chart>
  <c:spPr>
    <a:noFill/>
    <a:ln>
      <a:noFill/>
    </a:ln>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latin typeface="Candara" panose="020E0502030303020204" pitchFamily="34" charset="0"/>
              </a:defRPr>
            </a:pPr>
            <a:r>
              <a:rPr lang="en-US">
                <a:latin typeface="Candara" panose="020E0502030303020204" pitchFamily="34" charset="0"/>
              </a:rPr>
              <a:t>Riesgo inherente por proceso/área de práctica</a:t>
            </a:r>
          </a:p>
        </c:rich>
      </c:tx>
      <c:layout/>
      <c:overlay val="1"/>
    </c:title>
    <c:autoTitleDeleted val="0"/>
    <c:plotArea>
      <c:layout>
        <c:manualLayout>
          <c:layoutTarget val="inner"/>
          <c:xMode val="edge"/>
          <c:yMode val="edge"/>
          <c:x val="8.9250421508290143E-2"/>
          <c:y val="0.10108798707853826"/>
          <c:w val="0.87429977083632382"/>
          <c:h val="0.80337411669695136"/>
        </c:manualLayout>
      </c:layout>
      <c:scatterChart>
        <c:scatterStyle val="lineMarker"/>
        <c:varyColors val="0"/>
        <c:ser>
          <c:idx val="0"/>
          <c:order val="0"/>
          <c:tx>
            <c:strRef>
              <c:f>'Mapa de riesgo'!$Q$1</c:f>
              <c:strCache>
                <c:ptCount val="1"/>
                <c:pt idx="0">
                  <c:v>Co</c:v>
                </c:pt>
              </c:strCache>
            </c:strRef>
          </c:tx>
          <c:spPr>
            <a:ln w="28575">
              <a:noFill/>
            </a:ln>
          </c:spPr>
          <c:marker>
            <c:symbol val="circle"/>
            <c:size val="19"/>
            <c:spPr>
              <a:solidFill>
                <a:schemeClr val="tx2">
                  <a:lumMod val="75000"/>
                </a:schemeClr>
              </a:solidFill>
            </c:spPr>
          </c:marker>
          <c:dLbls>
            <c:spPr>
              <a:noFill/>
              <a:ln>
                <a:noFill/>
              </a:ln>
              <a:effectLst/>
            </c:spPr>
            <c:txPr>
              <a:bodyPr/>
              <a:lstStyle/>
              <a:p>
                <a:pPr>
                  <a:defRPr>
                    <a:solidFill>
                      <a:schemeClr val="bg1"/>
                    </a:solidFill>
                  </a:defRPr>
                </a:pPr>
                <a:endParaRPr lang="es-CO"/>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'RI Consolidado por FR'!$J$6</c:f>
              <c:numCache>
                <c:formatCode>0.00</c:formatCode>
                <c:ptCount val="1"/>
                <c:pt idx="0">
                  <c:v>0</c:v>
                </c:pt>
              </c:numCache>
            </c:numRef>
          </c:xVal>
          <c:yVal>
            <c:numRef>
              <c:f>'RI Consolidado por FR'!$I$6</c:f>
              <c:numCache>
                <c:formatCode>0.00</c:formatCode>
                <c:ptCount val="1"/>
                <c:pt idx="0">
                  <c:v>0</c:v>
                </c:pt>
              </c:numCache>
            </c:numRef>
          </c:yVal>
          <c:smooth val="0"/>
          <c:extLst>
            <c:ext xmlns:c16="http://schemas.microsoft.com/office/drawing/2014/chart" uri="{C3380CC4-5D6E-409C-BE32-E72D297353CC}">
              <c16:uniqueId val="{00000000-6071-48E2-A3E7-6732A195A1C3}"/>
            </c:ext>
          </c:extLst>
        </c:ser>
        <c:ser>
          <c:idx val="1"/>
          <c:order val="1"/>
          <c:tx>
            <c:strRef>
              <c:f>'Mapa de riesgo'!$Q$2</c:f>
              <c:strCache>
                <c:ptCount val="1"/>
                <c:pt idx="0">
                  <c:v>Gs</c:v>
                </c:pt>
              </c:strCache>
            </c:strRef>
          </c:tx>
          <c:spPr>
            <a:ln w="28575">
              <a:noFill/>
            </a:ln>
          </c:spPr>
          <c:marker>
            <c:symbol val="circle"/>
            <c:size val="18"/>
          </c:marker>
          <c:dPt>
            <c:idx val="0"/>
            <c:marker>
              <c:spPr>
                <a:solidFill>
                  <a:schemeClr val="tx1"/>
                </a:solidFill>
                <a:ln>
                  <a:solidFill>
                    <a:schemeClr val="tx1"/>
                  </a:solidFill>
                </a:ln>
              </c:spPr>
            </c:marker>
            <c:bubble3D val="0"/>
            <c:extLst>
              <c:ext xmlns:c16="http://schemas.microsoft.com/office/drawing/2014/chart" uri="{C3380CC4-5D6E-409C-BE32-E72D297353CC}">
                <c16:uniqueId val="{00000001-6071-48E2-A3E7-6732A195A1C3}"/>
              </c:ext>
            </c:extLst>
          </c:dPt>
          <c:dLbls>
            <c:spPr>
              <a:noFill/>
              <a:ln>
                <a:noFill/>
              </a:ln>
              <a:effectLst/>
            </c:spPr>
            <c:txPr>
              <a:bodyPr/>
              <a:lstStyle/>
              <a:p>
                <a:pPr>
                  <a:defRPr sz="1000">
                    <a:solidFill>
                      <a:schemeClr val="bg1"/>
                    </a:solidFill>
                  </a:defRPr>
                </a:pPr>
                <a:endParaRPr lang="es-CO"/>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'RI Consolidado por FR'!$J$7</c:f>
              <c:numCache>
                <c:formatCode>0.00</c:formatCode>
                <c:ptCount val="1"/>
                <c:pt idx="0">
                  <c:v>3.0833333333333335</c:v>
                </c:pt>
              </c:numCache>
            </c:numRef>
          </c:xVal>
          <c:yVal>
            <c:numRef>
              <c:f>'RI Consolidado por FR'!$I$7</c:f>
              <c:numCache>
                <c:formatCode>0.00</c:formatCode>
                <c:ptCount val="1"/>
                <c:pt idx="0">
                  <c:v>2.6666666666666665</c:v>
                </c:pt>
              </c:numCache>
            </c:numRef>
          </c:yVal>
          <c:smooth val="0"/>
          <c:extLst>
            <c:ext xmlns:c16="http://schemas.microsoft.com/office/drawing/2014/chart" uri="{C3380CC4-5D6E-409C-BE32-E72D297353CC}">
              <c16:uniqueId val="{00000002-6071-48E2-A3E7-6732A195A1C3}"/>
            </c:ext>
          </c:extLst>
        </c:ser>
        <c:ser>
          <c:idx val="2"/>
          <c:order val="2"/>
          <c:tx>
            <c:strRef>
              <c:f>'Mapa de riesgo'!$Q$3</c:f>
              <c:strCache>
                <c:ptCount val="1"/>
                <c:pt idx="0">
                  <c:v>El</c:v>
                </c:pt>
              </c:strCache>
            </c:strRef>
          </c:tx>
          <c:spPr>
            <a:ln w="28575">
              <a:noFill/>
            </a:ln>
          </c:spPr>
          <c:marker>
            <c:symbol val="circle"/>
            <c:size val="18"/>
            <c:spPr>
              <a:solidFill>
                <a:schemeClr val="accent2">
                  <a:lumMod val="75000"/>
                </a:schemeClr>
              </a:solidFill>
              <a:ln>
                <a:solidFill>
                  <a:srgbClr val="6F2927"/>
                </a:solidFill>
              </a:ln>
            </c:spPr>
          </c:marker>
          <c:dLbls>
            <c:spPr>
              <a:noFill/>
              <a:ln>
                <a:noFill/>
              </a:ln>
              <a:effectLst/>
            </c:spPr>
            <c:txPr>
              <a:bodyPr/>
              <a:lstStyle/>
              <a:p>
                <a:pPr>
                  <a:defRPr>
                    <a:solidFill>
                      <a:schemeClr val="bg1"/>
                    </a:solidFill>
                  </a:defRPr>
                </a:pPr>
                <a:endParaRPr lang="es-CO"/>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'RI Consolidado por FR'!$J$8</c:f>
              <c:numCache>
                <c:formatCode>0.00</c:formatCode>
                <c:ptCount val="1"/>
                <c:pt idx="0">
                  <c:v>0</c:v>
                </c:pt>
              </c:numCache>
            </c:numRef>
          </c:xVal>
          <c:yVal>
            <c:numRef>
              <c:f>'RI Consolidado por FR'!$I$8</c:f>
              <c:numCache>
                <c:formatCode>0.00</c:formatCode>
                <c:ptCount val="1"/>
                <c:pt idx="0">
                  <c:v>0</c:v>
                </c:pt>
              </c:numCache>
            </c:numRef>
          </c:yVal>
          <c:smooth val="0"/>
          <c:extLst>
            <c:ext xmlns:c16="http://schemas.microsoft.com/office/drawing/2014/chart" uri="{C3380CC4-5D6E-409C-BE32-E72D297353CC}">
              <c16:uniqueId val="{00000003-6071-48E2-A3E7-6732A195A1C3}"/>
            </c:ext>
          </c:extLst>
        </c:ser>
        <c:ser>
          <c:idx val="3"/>
          <c:order val="3"/>
          <c:tx>
            <c:strRef>
              <c:f>'Mapa de riesgo'!$Q$4</c:f>
              <c:strCache>
                <c:ptCount val="1"/>
                <c:pt idx="0">
                  <c:v>At</c:v>
                </c:pt>
              </c:strCache>
            </c:strRef>
          </c:tx>
          <c:spPr>
            <a:ln w="28575">
              <a:noFill/>
            </a:ln>
          </c:spPr>
          <c:marker>
            <c:symbol val="circle"/>
            <c:size val="18"/>
            <c:spPr>
              <a:ln>
                <a:solidFill>
                  <a:srgbClr val="7030A0"/>
                </a:solidFill>
              </a:ln>
            </c:spPr>
          </c:marker>
          <c:dLbls>
            <c:spPr>
              <a:noFill/>
              <a:ln>
                <a:noFill/>
              </a:ln>
              <a:effectLst/>
            </c:spPr>
            <c:txPr>
              <a:bodyPr/>
              <a:lstStyle/>
              <a:p>
                <a:pPr>
                  <a:defRPr>
                    <a:solidFill>
                      <a:schemeClr val="bg1"/>
                    </a:solidFill>
                  </a:defRPr>
                </a:pPr>
                <a:endParaRPr lang="es-CO"/>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'RI Consolidado por FR'!$J$9</c:f>
              <c:numCache>
                <c:formatCode>0.00</c:formatCode>
                <c:ptCount val="1"/>
                <c:pt idx="0">
                  <c:v>0</c:v>
                </c:pt>
              </c:numCache>
            </c:numRef>
          </c:xVal>
          <c:yVal>
            <c:numRef>
              <c:f>'RI Consolidado por FR'!$I$9</c:f>
              <c:numCache>
                <c:formatCode>0.00</c:formatCode>
                <c:ptCount val="1"/>
                <c:pt idx="0">
                  <c:v>0</c:v>
                </c:pt>
              </c:numCache>
            </c:numRef>
          </c:yVal>
          <c:smooth val="0"/>
          <c:extLst>
            <c:ext xmlns:c16="http://schemas.microsoft.com/office/drawing/2014/chart" uri="{C3380CC4-5D6E-409C-BE32-E72D297353CC}">
              <c16:uniqueId val="{00000004-6071-48E2-A3E7-6732A195A1C3}"/>
            </c:ext>
          </c:extLst>
        </c:ser>
        <c:ser>
          <c:idx val="4"/>
          <c:order val="4"/>
          <c:tx>
            <c:strRef>
              <c:f>'Mapa de riesgo'!$T$1</c:f>
              <c:strCache>
                <c:ptCount val="1"/>
                <c:pt idx="0">
                  <c:v>Eó</c:v>
                </c:pt>
              </c:strCache>
            </c:strRef>
          </c:tx>
          <c:spPr>
            <a:ln w="28575">
              <a:solidFill>
                <a:schemeClr val="bg2">
                  <a:lumMod val="75000"/>
                </a:schemeClr>
              </a:solidFill>
            </a:ln>
          </c:spPr>
          <c:marker>
            <c:symbol val="circle"/>
            <c:size val="20"/>
            <c:spPr>
              <a:solidFill>
                <a:schemeClr val="bg2">
                  <a:lumMod val="75000"/>
                </a:schemeClr>
              </a:solidFill>
              <a:ln>
                <a:solidFill>
                  <a:schemeClr val="bg2">
                    <a:lumMod val="75000"/>
                  </a:schemeClr>
                </a:solidFill>
              </a:ln>
            </c:spPr>
          </c:marker>
          <c:dLbls>
            <c:spPr>
              <a:noFill/>
              <a:ln>
                <a:noFill/>
              </a:ln>
              <a:effectLst/>
            </c:spPr>
            <c:txPr>
              <a:bodyPr/>
              <a:lstStyle/>
              <a:p>
                <a:pPr>
                  <a:defRPr sz="1050"/>
                </a:pPr>
                <a:endParaRPr lang="es-CO"/>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'RI Consolidado por FR'!$J$10</c:f>
              <c:numCache>
                <c:formatCode>0.00</c:formatCode>
                <c:ptCount val="1"/>
                <c:pt idx="0">
                  <c:v>4.75</c:v>
                </c:pt>
              </c:numCache>
            </c:numRef>
          </c:xVal>
          <c:yVal>
            <c:numRef>
              <c:f>'RI Consolidado por FR'!$I$10</c:f>
              <c:numCache>
                <c:formatCode>0.00</c:formatCode>
                <c:ptCount val="1"/>
                <c:pt idx="0">
                  <c:v>4</c:v>
                </c:pt>
              </c:numCache>
            </c:numRef>
          </c:yVal>
          <c:smooth val="0"/>
          <c:extLst>
            <c:ext xmlns:c16="http://schemas.microsoft.com/office/drawing/2014/chart" uri="{C3380CC4-5D6E-409C-BE32-E72D297353CC}">
              <c16:uniqueId val="{00000005-6071-48E2-A3E7-6732A195A1C3}"/>
            </c:ext>
          </c:extLst>
        </c:ser>
        <c:ser>
          <c:idx val="5"/>
          <c:order val="5"/>
          <c:tx>
            <c:strRef>
              <c:f>'Mapa de riesgo'!$T$2</c:f>
              <c:strCache>
                <c:ptCount val="1"/>
                <c:pt idx="0">
                  <c:v>Ge</c:v>
                </c:pt>
              </c:strCache>
            </c:strRef>
          </c:tx>
          <c:spPr>
            <a:ln w="28575">
              <a:noFill/>
            </a:ln>
          </c:spPr>
          <c:marker>
            <c:symbol val="circle"/>
            <c:size val="20"/>
            <c:spPr>
              <a:solidFill>
                <a:schemeClr val="bg1">
                  <a:lumMod val="65000"/>
                </a:schemeClr>
              </a:solidFill>
            </c:spPr>
          </c:marker>
          <c:dLbls>
            <c:spPr>
              <a:noFill/>
              <a:ln>
                <a:noFill/>
              </a:ln>
              <a:effectLst/>
            </c:spPr>
            <c:txPr>
              <a:bodyPr/>
              <a:lstStyle/>
              <a:p>
                <a:pPr>
                  <a:defRPr sz="900">
                    <a:solidFill>
                      <a:schemeClr val="bg1"/>
                    </a:solidFill>
                  </a:defRPr>
                </a:pPr>
                <a:endParaRPr lang="es-CO"/>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'RI Consolidado por FR'!$J$11</c:f>
              <c:numCache>
                <c:formatCode>0.00</c:formatCode>
                <c:ptCount val="1"/>
                <c:pt idx="0">
                  <c:v>0</c:v>
                </c:pt>
              </c:numCache>
            </c:numRef>
          </c:xVal>
          <c:yVal>
            <c:numRef>
              <c:f>'RI Consolidado por FR'!$I$11</c:f>
              <c:numCache>
                <c:formatCode>0.00</c:formatCode>
                <c:ptCount val="1"/>
                <c:pt idx="0">
                  <c:v>0</c:v>
                </c:pt>
              </c:numCache>
            </c:numRef>
          </c:yVal>
          <c:smooth val="0"/>
          <c:extLst>
            <c:ext xmlns:c16="http://schemas.microsoft.com/office/drawing/2014/chart" uri="{C3380CC4-5D6E-409C-BE32-E72D297353CC}">
              <c16:uniqueId val="{00000006-6071-48E2-A3E7-6732A195A1C3}"/>
            </c:ext>
          </c:extLst>
        </c:ser>
        <c:ser>
          <c:idx val="6"/>
          <c:order val="6"/>
          <c:tx>
            <c:strRef>
              <c:f>'Mapa de riesgo'!$T$3</c:f>
              <c:strCache>
                <c:ptCount val="1"/>
                <c:pt idx="0">
                  <c:v>Ge</c:v>
                </c:pt>
              </c:strCache>
            </c:strRef>
          </c:tx>
          <c:spPr>
            <a:ln w="28575">
              <a:noFill/>
            </a:ln>
          </c:spPr>
          <c:marker>
            <c:symbol val="circle"/>
            <c:size val="20"/>
          </c:marker>
          <c:dPt>
            <c:idx val="0"/>
            <c:marker>
              <c:spPr>
                <a:solidFill>
                  <a:srgbClr val="00B0F0"/>
                </a:solidFill>
              </c:spPr>
            </c:marker>
            <c:bubble3D val="0"/>
            <c:extLst>
              <c:ext xmlns:c16="http://schemas.microsoft.com/office/drawing/2014/chart" uri="{C3380CC4-5D6E-409C-BE32-E72D297353CC}">
                <c16:uniqueId val="{00000007-6071-48E2-A3E7-6732A195A1C3}"/>
              </c:ext>
            </c:extLst>
          </c:dPt>
          <c:dLbls>
            <c:dLbl>
              <c:idx val="0"/>
              <c:spPr/>
              <c:txPr>
                <a:bodyPr/>
                <a:lstStyle/>
                <a:p>
                  <a:pPr>
                    <a:defRPr sz="1000" b="1">
                      <a:solidFill>
                        <a:schemeClr val="bg1"/>
                      </a:solidFill>
                    </a:defRPr>
                  </a:pPr>
                  <a:endParaRPr lang="es-CO"/>
                </a:p>
              </c:txPr>
              <c:dLblPos val="ctr"/>
              <c:showLegendKey val="0"/>
              <c:showVal val="0"/>
              <c:showCatName val="0"/>
              <c:showSerName val="1"/>
              <c:showPercent val="0"/>
              <c:showBubbleSize val="0"/>
              <c:extLst>
                <c:ext xmlns:c16="http://schemas.microsoft.com/office/drawing/2014/chart" uri="{C3380CC4-5D6E-409C-BE32-E72D297353CC}">
                  <c16:uniqueId val="{00000007-6071-48E2-A3E7-6732A195A1C3}"/>
                </c:ext>
              </c:extLst>
            </c:dLbl>
            <c:spPr>
              <a:noFill/>
              <a:ln>
                <a:noFill/>
              </a:ln>
              <a:effectLst/>
            </c:spPr>
            <c:txPr>
              <a:bodyPr/>
              <a:lstStyle/>
              <a:p>
                <a:pPr>
                  <a:defRPr b="1"/>
                </a:pPr>
                <a:endParaRPr lang="es-CO"/>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'RI Consolidado por FR'!$J$12</c:f>
              <c:numCache>
                <c:formatCode>0.00</c:formatCode>
                <c:ptCount val="1"/>
                <c:pt idx="0">
                  <c:v>2.75</c:v>
                </c:pt>
              </c:numCache>
            </c:numRef>
          </c:xVal>
          <c:yVal>
            <c:numRef>
              <c:f>'RI Consolidado por FR'!$I$12</c:f>
              <c:numCache>
                <c:formatCode>0.00</c:formatCode>
                <c:ptCount val="1"/>
                <c:pt idx="0">
                  <c:v>3</c:v>
                </c:pt>
              </c:numCache>
            </c:numRef>
          </c:yVal>
          <c:smooth val="0"/>
          <c:extLst>
            <c:ext xmlns:c16="http://schemas.microsoft.com/office/drawing/2014/chart" uri="{C3380CC4-5D6E-409C-BE32-E72D297353CC}">
              <c16:uniqueId val="{00000008-6071-48E2-A3E7-6732A195A1C3}"/>
            </c:ext>
          </c:extLst>
        </c:ser>
        <c:ser>
          <c:idx val="7"/>
          <c:order val="7"/>
          <c:tx>
            <c:strRef>
              <c:f>'Mapa de riesgo'!$T$4</c:f>
              <c:strCache>
                <c:ptCount val="1"/>
                <c:pt idx="0">
                  <c:v>Gt</c:v>
                </c:pt>
              </c:strCache>
            </c:strRef>
          </c:tx>
          <c:spPr>
            <a:ln w="28575">
              <a:noFill/>
            </a:ln>
          </c:spPr>
          <c:dPt>
            <c:idx val="0"/>
            <c:marker>
              <c:symbol val="circle"/>
              <c:size val="20"/>
            </c:marker>
            <c:bubble3D val="0"/>
            <c:spPr>
              <a:ln>
                <a:solidFill>
                  <a:schemeClr val="accent1"/>
                </a:solidFill>
              </a:ln>
            </c:spPr>
            <c:extLst>
              <c:ext xmlns:c16="http://schemas.microsoft.com/office/drawing/2014/chart" uri="{C3380CC4-5D6E-409C-BE32-E72D297353CC}">
                <c16:uniqueId val="{0000000A-6071-48E2-A3E7-6732A195A1C3}"/>
              </c:ext>
            </c:extLst>
          </c:dPt>
          <c:dLbls>
            <c:dLbl>
              <c:idx val="0"/>
              <c:spPr/>
              <c:txPr>
                <a:bodyPr/>
                <a:lstStyle/>
                <a:p>
                  <a:pPr>
                    <a:defRPr>
                      <a:solidFill>
                        <a:schemeClr val="bg1"/>
                      </a:solidFill>
                    </a:defRPr>
                  </a:pPr>
                  <a:endParaRPr lang="es-CO"/>
                </a:p>
              </c:txPr>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A-6071-48E2-A3E7-6732A195A1C3}"/>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'RI Consolidado por FR'!$J$13</c:f>
              <c:numCache>
                <c:formatCode>0.00</c:formatCode>
                <c:ptCount val="1"/>
                <c:pt idx="0">
                  <c:v>0</c:v>
                </c:pt>
              </c:numCache>
            </c:numRef>
          </c:xVal>
          <c:yVal>
            <c:numRef>
              <c:f>'RI Consolidado por FR'!$I$13</c:f>
              <c:numCache>
                <c:formatCode>0.00</c:formatCode>
                <c:ptCount val="1"/>
                <c:pt idx="0">
                  <c:v>0</c:v>
                </c:pt>
              </c:numCache>
            </c:numRef>
          </c:yVal>
          <c:smooth val="0"/>
          <c:extLst>
            <c:ext xmlns:c16="http://schemas.microsoft.com/office/drawing/2014/chart" uri="{C3380CC4-5D6E-409C-BE32-E72D297353CC}">
              <c16:uniqueId val="{0000000B-6071-48E2-A3E7-6732A195A1C3}"/>
            </c:ext>
          </c:extLst>
        </c:ser>
        <c:ser>
          <c:idx val="8"/>
          <c:order val="8"/>
          <c:tx>
            <c:strRef>
              <c:f>'Mapa de riesgo'!$W$1</c:f>
              <c:strCache>
                <c:ptCount val="1"/>
              </c:strCache>
            </c:strRef>
          </c:tx>
          <c:spPr>
            <a:ln w="28575">
              <a:noFill/>
            </a:ln>
          </c:spPr>
          <c:dLbls>
            <c:dLbl>
              <c:idx val="0"/>
              <c:spPr>
                <a:ln w="9525"/>
              </c:spPr>
              <c:txPr>
                <a:bodyPr/>
                <a:lstStyle/>
                <a:p>
                  <a:pPr>
                    <a:defRPr sz="700" b="1"/>
                  </a:pPr>
                  <a:endParaRPr lang="es-CO"/>
                </a:p>
              </c:txPr>
              <c:dLblPos val="ctr"/>
              <c:showLegendKey val="0"/>
              <c:showVal val="0"/>
              <c:showCatName val="0"/>
              <c:showSerName val="1"/>
              <c:showPercent val="0"/>
              <c:showBubbleSize val="0"/>
              <c:extLst>
                <c:ext xmlns:c15="http://schemas.microsoft.com/office/drawing/2012/chart" uri="{CE6537A1-D6FC-4f65-9D91-7224C49458BB}">
                  <c15:spPr xmlns:c15="http://schemas.microsoft.com/office/drawing/2012/chart">
                    <a:prstGeom prst="ellipse">
                      <a:avLst/>
                    </a:prstGeom>
                  </c15:spPr>
                </c:ext>
                <c:ext xmlns:c16="http://schemas.microsoft.com/office/drawing/2014/chart" uri="{C3380CC4-5D6E-409C-BE32-E72D297353CC}">
                  <c16:uniqueId val="{0000000D-08CA-488D-B56B-83683F7781ED}"/>
                </c:ext>
              </c:extLst>
            </c:dLbl>
            <c:spPr>
              <a:ln w="9525"/>
            </c:spPr>
            <c:txPr>
              <a:bodyPr/>
              <a:lstStyle/>
              <a:p>
                <a:pPr>
                  <a:defRPr b="1"/>
                </a:pPr>
                <a:endParaRPr lang="es-CO"/>
              </a:p>
            </c:txPr>
            <c:dLblPos val="ct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ellipse">
                    <a:avLst/>
                  </a:prstGeom>
                </c15:spPr>
                <c15:showLeaderLines val="0"/>
              </c:ext>
            </c:extLst>
          </c:dLbls>
          <c:xVal>
            <c:numRef>
              <c:f>'RI Consolidado por FR'!$J$14</c:f>
              <c:numCache>
                <c:formatCode>0.00</c:formatCode>
                <c:ptCount val="1"/>
                <c:pt idx="0">
                  <c:v>0</c:v>
                </c:pt>
              </c:numCache>
            </c:numRef>
          </c:xVal>
          <c:yVal>
            <c:numRef>
              <c:f>'RI Consolidado por FR'!$I$14</c:f>
              <c:numCache>
                <c:formatCode>0.00</c:formatCode>
                <c:ptCount val="1"/>
                <c:pt idx="0">
                  <c:v>0</c:v>
                </c:pt>
              </c:numCache>
            </c:numRef>
          </c:yVal>
          <c:smooth val="0"/>
          <c:extLst>
            <c:ext xmlns:c16="http://schemas.microsoft.com/office/drawing/2014/chart" uri="{C3380CC4-5D6E-409C-BE32-E72D297353CC}">
              <c16:uniqueId val="{00000005-08CA-488D-B56B-83683F7781ED}"/>
            </c:ext>
          </c:extLst>
        </c:ser>
        <c:ser>
          <c:idx val="9"/>
          <c:order val="9"/>
          <c:tx>
            <c:strRef>
              <c:f>'Mapa de riesgo'!$W$2</c:f>
              <c:strCache>
                <c:ptCount val="1"/>
              </c:strCache>
            </c:strRef>
          </c:tx>
          <c:spPr>
            <a:ln w="28575">
              <a:noFill/>
            </a:ln>
          </c:spPr>
          <c:dLbls>
            <c:dLbl>
              <c:idx val="0"/>
              <c:spPr>
                <a:solidFill>
                  <a:schemeClr val="accent4"/>
                </a:solidFill>
              </c:spPr>
              <c:txPr>
                <a:bodyPr/>
                <a:lstStyle/>
                <a:p>
                  <a:pPr>
                    <a:defRPr sz="700" b="1"/>
                  </a:pPr>
                  <a:endParaRPr lang="es-CO"/>
                </a:p>
              </c:txPr>
              <c:dLblPos val="ctr"/>
              <c:showLegendKey val="0"/>
              <c:showVal val="0"/>
              <c:showCatName val="0"/>
              <c:showSerName val="1"/>
              <c:showPercent val="0"/>
              <c:showBubbleSize val="0"/>
              <c:extLst>
                <c:ext xmlns:c15="http://schemas.microsoft.com/office/drawing/2012/chart" uri="{CE6537A1-D6FC-4f65-9D91-7224C49458BB}">
                  <c15:spPr xmlns:c15="http://schemas.microsoft.com/office/drawing/2012/chart">
                    <a:prstGeom prst="ellipse">
                      <a:avLst/>
                    </a:prstGeom>
                  </c15:spPr>
                </c:ext>
                <c:ext xmlns:c16="http://schemas.microsoft.com/office/drawing/2014/chart" uri="{C3380CC4-5D6E-409C-BE32-E72D297353CC}">
                  <c16:uniqueId val="{0000000F-08CA-488D-B56B-83683F7781ED}"/>
                </c:ext>
              </c:extLst>
            </c:dLbl>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'RI Consolidado por FR'!$J$15</c:f>
              <c:numCache>
                <c:formatCode>0.00</c:formatCode>
                <c:ptCount val="1"/>
                <c:pt idx="0">
                  <c:v>0</c:v>
                </c:pt>
              </c:numCache>
            </c:numRef>
          </c:xVal>
          <c:yVal>
            <c:numRef>
              <c:f>'RI Consolidado por FR'!$I$15</c:f>
              <c:numCache>
                <c:formatCode>0.00</c:formatCode>
                <c:ptCount val="1"/>
                <c:pt idx="0">
                  <c:v>0</c:v>
                </c:pt>
              </c:numCache>
            </c:numRef>
          </c:yVal>
          <c:smooth val="0"/>
          <c:extLst>
            <c:ext xmlns:c16="http://schemas.microsoft.com/office/drawing/2014/chart" uri="{C3380CC4-5D6E-409C-BE32-E72D297353CC}">
              <c16:uniqueId val="{00000006-08CA-488D-B56B-83683F7781ED}"/>
            </c:ext>
          </c:extLst>
        </c:ser>
        <c:ser>
          <c:idx val="10"/>
          <c:order val="10"/>
          <c:tx>
            <c:strRef>
              <c:f>'Mapa de riesgo'!$W$3</c:f>
              <c:strCache>
                <c:ptCount val="1"/>
              </c:strCache>
            </c:strRef>
          </c:tx>
          <c:spPr>
            <a:ln w="28575">
              <a:noFill/>
            </a:ln>
          </c:spPr>
          <c:dLbls>
            <c:dLbl>
              <c:idx val="0"/>
              <c:spPr>
                <a:solidFill>
                  <a:schemeClr val="bg1">
                    <a:lumMod val="50000"/>
                  </a:schemeClr>
                </a:solidFill>
              </c:spPr>
              <c:txPr>
                <a:bodyPr/>
                <a:lstStyle/>
                <a:p>
                  <a:pPr>
                    <a:defRPr sz="700" b="1"/>
                  </a:pPr>
                  <a:endParaRPr lang="es-CO"/>
                </a:p>
              </c:txPr>
              <c:dLblPos val="ctr"/>
              <c:showLegendKey val="0"/>
              <c:showVal val="0"/>
              <c:showCatName val="0"/>
              <c:showSerName val="1"/>
              <c:showPercent val="0"/>
              <c:showBubbleSize val="0"/>
              <c:extLst>
                <c:ext xmlns:c15="http://schemas.microsoft.com/office/drawing/2012/chart" uri="{CE6537A1-D6FC-4f65-9D91-7224C49458BB}">
                  <c15:spPr xmlns:c15="http://schemas.microsoft.com/office/drawing/2012/chart">
                    <a:prstGeom prst="ellipse">
                      <a:avLst/>
                    </a:prstGeom>
                  </c15:spPr>
                </c:ext>
                <c:ext xmlns:c16="http://schemas.microsoft.com/office/drawing/2014/chart" uri="{C3380CC4-5D6E-409C-BE32-E72D297353CC}">
                  <c16:uniqueId val="{00000010-08CA-488D-B56B-83683F7781ED}"/>
                </c:ext>
              </c:extLst>
            </c:dLbl>
            <c:spPr>
              <a:solidFill>
                <a:sysClr val="window" lastClr="FFFFFF"/>
              </a:solidFill>
              <a:ln>
                <a:solidFill>
                  <a:sysClr val="windowText" lastClr="000000">
                    <a:lumMod val="65000"/>
                    <a:lumOff val="35000"/>
                  </a:sysClr>
                </a:solidFill>
              </a:ln>
              <a:effectLst/>
            </c:spPr>
            <c:dLblPos val="ct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ellipse">
                    <a:avLst/>
                  </a:prstGeom>
                </c15:spPr>
                <c15:showLeaderLines val="0"/>
              </c:ext>
            </c:extLst>
          </c:dLbls>
          <c:xVal>
            <c:numRef>
              <c:f>'RI Consolidado por FR'!$J$16</c:f>
              <c:numCache>
                <c:formatCode>0.00</c:formatCode>
                <c:ptCount val="1"/>
                <c:pt idx="0">
                  <c:v>0</c:v>
                </c:pt>
              </c:numCache>
            </c:numRef>
          </c:xVal>
          <c:yVal>
            <c:numRef>
              <c:f>'RI Consolidado por FR'!$I$16</c:f>
              <c:numCache>
                <c:formatCode>0.00</c:formatCode>
                <c:ptCount val="1"/>
                <c:pt idx="0">
                  <c:v>0</c:v>
                </c:pt>
              </c:numCache>
            </c:numRef>
          </c:yVal>
          <c:smooth val="0"/>
          <c:extLst>
            <c:ext xmlns:c16="http://schemas.microsoft.com/office/drawing/2014/chart" uri="{C3380CC4-5D6E-409C-BE32-E72D297353CC}">
              <c16:uniqueId val="{00000008-08CA-488D-B56B-83683F7781ED}"/>
            </c:ext>
          </c:extLst>
        </c:ser>
        <c:ser>
          <c:idx val="11"/>
          <c:order val="11"/>
          <c:tx>
            <c:strRef>
              <c:f>'Mapa de riesgo'!$W$4</c:f>
              <c:strCache>
                <c:ptCount val="1"/>
              </c:strCache>
            </c:strRef>
          </c:tx>
          <c:spPr>
            <a:ln w="28575">
              <a:noFill/>
            </a:ln>
          </c:spPr>
          <c:dLbls>
            <c:dLbl>
              <c:idx val="0"/>
              <c:spPr>
                <a:solidFill>
                  <a:schemeClr val="accent2"/>
                </a:solidFill>
              </c:spPr>
              <c:txPr>
                <a:bodyPr/>
                <a:lstStyle/>
                <a:p>
                  <a:pPr>
                    <a:defRPr sz="700" b="1"/>
                  </a:pPr>
                  <a:endParaRPr lang="es-CO"/>
                </a:p>
              </c:txPr>
              <c:dLblPos val="ctr"/>
              <c:showLegendKey val="0"/>
              <c:showVal val="0"/>
              <c:showCatName val="0"/>
              <c:showSerName val="1"/>
              <c:showPercent val="0"/>
              <c:showBubbleSize val="0"/>
              <c:extLst>
                <c:ext xmlns:c15="http://schemas.microsoft.com/office/drawing/2012/chart" uri="{CE6537A1-D6FC-4f65-9D91-7224C49458BB}">
                  <c15:spPr xmlns:c15="http://schemas.microsoft.com/office/drawing/2012/chart">
                    <a:prstGeom prst="ellipse">
                      <a:avLst/>
                    </a:prstGeom>
                  </c15:spPr>
                </c:ext>
                <c:ext xmlns:c16="http://schemas.microsoft.com/office/drawing/2014/chart" uri="{C3380CC4-5D6E-409C-BE32-E72D297353CC}">
                  <c16:uniqueId val="{00000011-08CA-488D-B56B-83683F7781ED}"/>
                </c:ext>
              </c:extLst>
            </c:dLbl>
            <c:spPr>
              <a:solidFill>
                <a:schemeClr val="accent2"/>
              </a:solidFill>
            </c:spPr>
            <c:dLblPos val="ct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ellipse">
                    <a:avLst/>
                  </a:prstGeom>
                </c15:spPr>
                <c15:showLeaderLines val="0"/>
              </c:ext>
            </c:extLst>
          </c:dLbls>
          <c:xVal>
            <c:numRef>
              <c:f>'RI Consolidado por FR'!$J$17</c:f>
              <c:numCache>
                <c:formatCode>0.00</c:formatCode>
                <c:ptCount val="1"/>
                <c:pt idx="0">
                  <c:v>3.5</c:v>
                </c:pt>
              </c:numCache>
            </c:numRef>
          </c:xVal>
          <c:yVal>
            <c:numRef>
              <c:f>'RI Consolidado por FR'!$I$17</c:f>
              <c:numCache>
                <c:formatCode>0.00</c:formatCode>
                <c:ptCount val="1"/>
                <c:pt idx="0">
                  <c:v>3.5</c:v>
                </c:pt>
              </c:numCache>
            </c:numRef>
          </c:yVal>
          <c:smooth val="0"/>
          <c:extLst>
            <c:ext xmlns:c16="http://schemas.microsoft.com/office/drawing/2014/chart" uri="{C3380CC4-5D6E-409C-BE32-E72D297353CC}">
              <c16:uniqueId val="{00000009-08CA-488D-B56B-83683F7781ED}"/>
            </c:ext>
          </c:extLst>
        </c:ser>
        <c:ser>
          <c:idx val="12"/>
          <c:order val="12"/>
          <c:tx>
            <c:strRef>
              <c:f>'Mapa de riesgo'!$Z$1</c:f>
              <c:strCache>
                <c:ptCount val="1"/>
                <c:pt idx="0">
                  <c:v>Gestión Documental</c:v>
                </c:pt>
              </c:strCache>
            </c:strRef>
          </c:tx>
          <c:spPr>
            <a:ln w="28575">
              <a:noFill/>
            </a:ln>
          </c:spPr>
          <c:dLbls>
            <c:dLbl>
              <c:idx val="0"/>
              <c:spPr>
                <a:solidFill>
                  <a:schemeClr val="accent3"/>
                </a:solidFill>
              </c:spPr>
              <c:txPr>
                <a:bodyPr/>
                <a:lstStyle/>
                <a:p>
                  <a:pPr>
                    <a:defRPr sz="700" b="1"/>
                  </a:pPr>
                  <a:endParaRPr lang="es-CO"/>
                </a:p>
              </c:txPr>
              <c:dLblPos val="ctr"/>
              <c:showLegendKey val="0"/>
              <c:showVal val="0"/>
              <c:showCatName val="0"/>
              <c:showSerName val="1"/>
              <c:showPercent val="0"/>
              <c:showBubbleSize val="0"/>
              <c:extLst>
                <c:ext xmlns:c15="http://schemas.microsoft.com/office/drawing/2012/chart" uri="{CE6537A1-D6FC-4f65-9D91-7224C49458BB}">
                  <c15:spPr xmlns:c15="http://schemas.microsoft.com/office/drawing/2012/chart">
                    <a:prstGeom prst="flowChartConnector">
                      <a:avLst/>
                    </a:prstGeom>
                  </c15:spPr>
                </c:ext>
                <c:ext xmlns:c16="http://schemas.microsoft.com/office/drawing/2014/chart" uri="{C3380CC4-5D6E-409C-BE32-E72D297353CC}">
                  <c16:uniqueId val="{0000000E-08CA-488D-B56B-83683F7781ED}"/>
                </c:ext>
              </c:extLst>
            </c:dLbl>
            <c:spPr>
              <a:solidFill>
                <a:sysClr val="window" lastClr="FFFFFF"/>
              </a:solidFill>
              <a:ln>
                <a:solidFill>
                  <a:sysClr val="windowText" lastClr="000000">
                    <a:lumMod val="65000"/>
                    <a:lumOff val="35000"/>
                  </a:sysClr>
                </a:solidFill>
              </a:ln>
              <a:effectLst/>
            </c:spPr>
            <c:dLblPos val="ct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flowChartConnector">
                    <a:avLst/>
                  </a:prstGeom>
                </c15:spPr>
                <c15:showLeaderLines val="0"/>
              </c:ext>
            </c:extLst>
          </c:dLbls>
          <c:xVal>
            <c:numRef>
              <c:f>'RI Consolidado por FR'!$J$18</c:f>
              <c:numCache>
                <c:formatCode>0.00</c:formatCode>
                <c:ptCount val="1"/>
                <c:pt idx="0">
                  <c:v>3.333333333333333</c:v>
                </c:pt>
              </c:numCache>
            </c:numRef>
          </c:xVal>
          <c:yVal>
            <c:numRef>
              <c:f>'RI Consolidado por FR'!$I$18</c:f>
              <c:numCache>
                <c:formatCode>0.00</c:formatCode>
                <c:ptCount val="1"/>
                <c:pt idx="0">
                  <c:v>2</c:v>
                </c:pt>
              </c:numCache>
            </c:numRef>
          </c:yVal>
          <c:smooth val="0"/>
          <c:extLst>
            <c:ext xmlns:c16="http://schemas.microsoft.com/office/drawing/2014/chart" uri="{C3380CC4-5D6E-409C-BE32-E72D297353CC}">
              <c16:uniqueId val="{0000000A-08CA-488D-B56B-83683F7781ED}"/>
            </c:ext>
          </c:extLst>
        </c:ser>
        <c:ser>
          <c:idx val="13"/>
          <c:order val="13"/>
          <c:tx>
            <c:strRef>
              <c:f>'Mapa de riesgo'!$Z$2</c:f>
              <c:strCache>
                <c:ptCount val="1"/>
                <c:pt idx="0">
                  <c:v>Control Inspección y Fiscalización</c:v>
                </c:pt>
              </c:strCache>
            </c:strRef>
          </c:tx>
          <c:spPr>
            <a:ln w="28575">
              <a:noFill/>
            </a:ln>
          </c:spPr>
          <c:dLbls>
            <c:dLbl>
              <c:idx val="0"/>
              <c:spPr>
                <a:solidFill>
                  <a:schemeClr val="accent6">
                    <a:lumMod val="50000"/>
                  </a:schemeClr>
                </a:solidFill>
              </c:spPr>
              <c:txPr>
                <a:bodyPr/>
                <a:lstStyle/>
                <a:p>
                  <a:pPr>
                    <a:defRPr sz="900" b="1">
                      <a:solidFill>
                        <a:schemeClr val="bg1"/>
                      </a:solidFill>
                    </a:defRPr>
                  </a:pPr>
                  <a:endParaRPr lang="es-CO"/>
                </a:p>
              </c:txPr>
              <c:dLblPos val="ctr"/>
              <c:showLegendKey val="0"/>
              <c:showVal val="0"/>
              <c:showCatName val="0"/>
              <c:showSerName val="1"/>
              <c:showPercent val="0"/>
              <c:showBubbleSize val="0"/>
              <c:extLst>
                <c:ext xmlns:c15="http://schemas.microsoft.com/office/drawing/2012/chart" uri="{CE6537A1-D6FC-4f65-9D91-7224C49458BB}">
                  <c15:spPr xmlns:c15="http://schemas.microsoft.com/office/drawing/2012/chart">
                    <a:prstGeom prst="ellipse">
                      <a:avLst/>
                    </a:prstGeom>
                  </c15:spPr>
                </c:ext>
                <c:ext xmlns:c16="http://schemas.microsoft.com/office/drawing/2014/chart" uri="{C3380CC4-5D6E-409C-BE32-E72D297353CC}">
                  <c16:uniqueId val="{00000012-08CA-488D-B56B-83683F7781ED}"/>
                </c:ext>
              </c:extLst>
            </c:dLbl>
            <c:spPr>
              <a:solidFill>
                <a:sysClr val="window" lastClr="FFFFFF"/>
              </a:solidFill>
              <a:ln>
                <a:solidFill>
                  <a:sysClr val="windowText" lastClr="000000">
                    <a:lumMod val="65000"/>
                    <a:lumOff val="35000"/>
                  </a:sysClr>
                </a:solidFill>
              </a:ln>
              <a:effectLst/>
            </c:spPr>
            <c:dLblPos val="ct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ellipse">
                    <a:avLst/>
                  </a:prstGeom>
                </c15:spPr>
                <c15:showLeaderLines val="0"/>
              </c:ext>
            </c:extLst>
          </c:dLbls>
          <c:xVal>
            <c:numRef>
              <c:f>'RI Consolidado por FR'!$J$19</c:f>
              <c:numCache>
                <c:formatCode>0.00</c:formatCode>
                <c:ptCount val="1"/>
                <c:pt idx="0">
                  <c:v>0</c:v>
                </c:pt>
              </c:numCache>
            </c:numRef>
          </c:xVal>
          <c:yVal>
            <c:numRef>
              <c:f>'RI Consolidado por FR'!$I$19</c:f>
              <c:numCache>
                <c:formatCode>0.00</c:formatCode>
                <c:ptCount val="1"/>
                <c:pt idx="0">
                  <c:v>0</c:v>
                </c:pt>
              </c:numCache>
            </c:numRef>
          </c:yVal>
          <c:smooth val="0"/>
          <c:extLst>
            <c:ext xmlns:c16="http://schemas.microsoft.com/office/drawing/2014/chart" uri="{C3380CC4-5D6E-409C-BE32-E72D297353CC}">
              <c16:uniqueId val="{0000000B-08CA-488D-B56B-83683F7781ED}"/>
            </c:ext>
          </c:extLst>
        </c:ser>
        <c:ser>
          <c:idx val="14"/>
          <c:order val="14"/>
          <c:tx>
            <c:strRef>
              <c:f>'Mapa de riesgo'!$Z$3</c:f>
              <c:strCache>
                <c:ptCount val="1"/>
                <c:pt idx="0">
                  <c:v>Gestión Jurídica</c:v>
                </c:pt>
              </c:strCache>
            </c:strRef>
          </c:tx>
          <c:spPr>
            <a:ln w="28575">
              <a:noFill/>
            </a:ln>
          </c:spPr>
          <c:dLbls>
            <c:dLbl>
              <c:idx val="0"/>
              <c:spPr>
                <a:solidFill>
                  <a:schemeClr val="accent1">
                    <a:lumMod val="40000"/>
                    <a:lumOff val="60000"/>
                  </a:schemeClr>
                </a:solidFill>
              </c:spPr>
              <c:txPr>
                <a:bodyPr/>
                <a:lstStyle/>
                <a:p>
                  <a:pPr>
                    <a:defRPr sz="600" b="1"/>
                  </a:pPr>
                  <a:endParaRPr lang="es-CO"/>
                </a:p>
              </c:txPr>
              <c:dLblPos val="ctr"/>
              <c:showLegendKey val="0"/>
              <c:showVal val="0"/>
              <c:showCatName val="0"/>
              <c:showSerName val="1"/>
              <c:showPercent val="0"/>
              <c:showBubbleSize val="0"/>
              <c:extLst>
                <c:ext xmlns:c15="http://schemas.microsoft.com/office/drawing/2012/chart" uri="{CE6537A1-D6FC-4f65-9D91-7224C49458BB}">
                  <c15:spPr xmlns:c15="http://schemas.microsoft.com/office/drawing/2012/chart">
                    <a:prstGeom prst="ellipse">
                      <a:avLst/>
                    </a:prstGeom>
                  </c15:spPr>
                </c:ext>
                <c:ext xmlns:c16="http://schemas.microsoft.com/office/drawing/2014/chart" uri="{C3380CC4-5D6E-409C-BE32-E72D297353CC}">
                  <c16:uniqueId val="{00000013-08CA-488D-B56B-83683F7781ED}"/>
                </c:ext>
              </c:extLst>
            </c:dLbl>
            <c:spPr>
              <a:solidFill>
                <a:sysClr val="window" lastClr="FFFFFF"/>
              </a:solidFill>
              <a:ln>
                <a:solidFill>
                  <a:sysClr val="windowText" lastClr="000000">
                    <a:lumMod val="65000"/>
                    <a:lumOff val="35000"/>
                  </a:sysClr>
                </a:solidFill>
              </a:ln>
              <a:effectLst/>
            </c:spPr>
            <c:dLblPos val="ct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ellipse">
                    <a:avLst/>
                  </a:prstGeom>
                </c15:spPr>
                <c15:showLeaderLines val="0"/>
              </c:ext>
            </c:extLst>
          </c:dLbls>
          <c:xVal>
            <c:numRef>
              <c:f>'RI Consolidado por FR'!$J$20</c:f>
              <c:numCache>
                <c:formatCode>0.00</c:formatCode>
                <c:ptCount val="1"/>
                <c:pt idx="0">
                  <c:v>0</c:v>
                </c:pt>
              </c:numCache>
            </c:numRef>
          </c:xVal>
          <c:yVal>
            <c:numRef>
              <c:f>'RI Consolidado por FR'!$I$20</c:f>
              <c:numCache>
                <c:formatCode>0.00</c:formatCode>
                <c:ptCount val="1"/>
                <c:pt idx="0">
                  <c:v>0</c:v>
                </c:pt>
              </c:numCache>
            </c:numRef>
          </c:yVal>
          <c:smooth val="0"/>
          <c:extLst>
            <c:ext xmlns:c16="http://schemas.microsoft.com/office/drawing/2014/chart" uri="{C3380CC4-5D6E-409C-BE32-E72D297353CC}">
              <c16:uniqueId val="{0000000C-08CA-488D-B56B-83683F7781ED}"/>
            </c:ext>
          </c:extLst>
        </c:ser>
        <c:dLbls>
          <c:showLegendKey val="0"/>
          <c:showVal val="0"/>
          <c:showCatName val="0"/>
          <c:showSerName val="0"/>
          <c:showPercent val="0"/>
          <c:showBubbleSize val="0"/>
        </c:dLbls>
        <c:axId val="-83949296"/>
        <c:axId val="-83949840"/>
      </c:scatterChart>
      <c:valAx>
        <c:axId val="-83949296"/>
        <c:scaling>
          <c:orientation val="minMax"/>
          <c:max val="5.5"/>
          <c:min val="0.5"/>
        </c:scaling>
        <c:delete val="0"/>
        <c:axPos val="b"/>
        <c:title>
          <c:tx>
            <c:rich>
              <a:bodyPr/>
              <a:lstStyle/>
              <a:p>
                <a:pPr>
                  <a:defRPr sz="1400">
                    <a:latin typeface="Candara" panose="020E0502030303020204" pitchFamily="34" charset="0"/>
                  </a:defRPr>
                </a:pPr>
                <a:r>
                  <a:rPr lang="es-CO" sz="1400">
                    <a:latin typeface="Candara" panose="020E0502030303020204" pitchFamily="34" charset="0"/>
                  </a:rPr>
                  <a:t>Valoración consecuencia</a:t>
                </a:r>
              </a:p>
            </c:rich>
          </c:tx>
          <c:layout/>
          <c:overlay val="0"/>
        </c:title>
        <c:numFmt formatCode="0.00" sourceLinked="1"/>
        <c:majorTickMark val="none"/>
        <c:minorTickMark val="none"/>
        <c:tickLblPos val="nextTo"/>
        <c:txPr>
          <a:bodyPr/>
          <a:lstStyle/>
          <a:p>
            <a:pPr>
              <a:defRPr>
                <a:solidFill>
                  <a:schemeClr val="bg1"/>
                </a:solidFill>
              </a:defRPr>
            </a:pPr>
            <a:endParaRPr lang="es-CO"/>
          </a:p>
        </c:txPr>
        <c:crossAx val="-83949840"/>
        <c:crosses val="autoZero"/>
        <c:crossBetween val="midCat"/>
        <c:majorUnit val="0.5"/>
      </c:valAx>
      <c:valAx>
        <c:axId val="-83949840"/>
        <c:scaling>
          <c:orientation val="minMax"/>
          <c:max val="5.5"/>
          <c:min val="0.5"/>
        </c:scaling>
        <c:delete val="0"/>
        <c:axPos val="l"/>
        <c:title>
          <c:tx>
            <c:rich>
              <a:bodyPr rot="-5400000" vert="horz"/>
              <a:lstStyle/>
              <a:p>
                <a:pPr>
                  <a:defRPr sz="1400">
                    <a:latin typeface="Candara" panose="020E0502030303020204" pitchFamily="34" charset="0"/>
                  </a:defRPr>
                </a:pPr>
                <a:r>
                  <a:rPr lang="es-CO" sz="1400">
                    <a:latin typeface="Candara" panose="020E0502030303020204" pitchFamily="34" charset="0"/>
                  </a:rPr>
                  <a:t>Probabilidad</a:t>
                </a:r>
              </a:p>
            </c:rich>
          </c:tx>
          <c:layout/>
          <c:overlay val="0"/>
        </c:title>
        <c:numFmt formatCode="0.00" sourceLinked="1"/>
        <c:majorTickMark val="none"/>
        <c:minorTickMark val="none"/>
        <c:tickLblPos val="nextTo"/>
        <c:txPr>
          <a:bodyPr/>
          <a:lstStyle/>
          <a:p>
            <a:pPr>
              <a:defRPr>
                <a:solidFill>
                  <a:schemeClr val="bg1"/>
                </a:solidFill>
              </a:defRPr>
            </a:pPr>
            <a:endParaRPr lang="es-CO"/>
          </a:p>
        </c:txPr>
        <c:crossAx val="-83949296"/>
        <c:crosses val="autoZero"/>
        <c:crossBetween val="midCat"/>
        <c:majorUnit val="0.5"/>
      </c:valAx>
      <c:spPr>
        <a:blipFill>
          <a:blip xmlns:r="http://schemas.openxmlformats.org/officeDocument/2006/relationships" r:embed="rId1"/>
          <a:stretch>
            <a:fillRect/>
          </a:stretch>
        </a:blipFill>
      </c:spPr>
    </c:plotArea>
    <c:plotVisOnly val="1"/>
    <c:dispBlanksAs val="gap"/>
    <c:showDLblsOverMax val="0"/>
  </c:chart>
  <c:spPr>
    <a:noFill/>
    <a:ln>
      <a:noFill/>
    </a:ln>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latin typeface="Candara" panose="020E0502030303020204" pitchFamily="34" charset="0"/>
              </a:defRPr>
            </a:pPr>
            <a:r>
              <a:rPr lang="en-US">
                <a:latin typeface="Candara" panose="020E0502030303020204" pitchFamily="34" charset="0"/>
              </a:rPr>
              <a:t>Riesgo residual</a:t>
            </a:r>
          </a:p>
        </c:rich>
      </c:tx>
      <c:layout/>
      <c:overlay val="1"/>
    </c:title>
    <c:autoTitleDeleted val="0"/>
    <c:plotArea>
      <c:layout>
        <c:manualLayout>
          <c:layoutTarget val="inner"/>
          <c:xMode val="edge"/>
          <c:yMode val="edge"/>
          <c:x val="9.7565195273607616E-2"/>
          <c:y val="0.10108798707853826"/>
          <c:w val="0.87429977083632382"/>
          <c:h val="0.80337411669695136"/>
        </c:manualLayout>
      </c:layout>
      <c:scatterChart>
        <c:scatterStyle val="lineMarker"/>
        <c:varyColors val="0"/>
        <c:ser>
          <c:idx val="2"/>
          <c:order val="0"/>
          <c:tx>
            <c:v>RR</c:v>
          </c:tx>
          <c:spPr>
            <a:ln w="28575">
              <a:noFill/>
            </a:ln>
          </c:spPr>
          <c:marker>
            <c:symbol val="circle"/>
            <c:size val="21"/>
            <c:spPr>
              <a:solidFill>
                <a:schemeClr val="bg1"/>
              </a:solidFill>
            </c:spPr>
          </c:marker>
          <c:dLbls>
            <c:spPr>
              <a:noFill/>
              <a:ln>
                <a:noFill/>
              </a:ln>
              <a:effectLst/>
            </c:spPr>
            <c:txPr>
              <a:bodyPr/>
              <a:lstStyle/>
              <a:p>
                <a:pPr>
                  <a:defRPr sz="1400" b="1"/>
                </a:pPr>
                <a:endParaRPr lang="es-CO"/>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'R R'!$AE$3</c:f>
              <c:numCache>
                <c:formatCode>0.00</c:formatCode>
                <c:ptCount val="1"/>
                <c:pt idx="0">
                  <c:v>1.5333333333333334</c:v>
                </c:pt>
              </c:numCache>
            </c:numRef>
          </c:xVal>
          <c:yVal>
            <c:numRef>
              <c:f>'R R'!$AD$3</c:f>
              <c:numCache>
                <c:formatCode>0.00</c:formatCode>
                <c:ptCount val="1"/>
                <c:pt idx="0">
                  <c:v>1.3333333333333333</c:v>
                </c:pt>
              </c:numCache>
            </c:numRef>
          </c:yVal>
          <c:smooth val="0"/>
          <c:extLst>
            <c:ext xmlns:c16="http://schemas.microsoft.com/office/drawing/2014/chart" uri="{C3380CC4-5D6E-409C-BE32-E72D297353CC}">
              <c16:uniqueId val="{00000000-12E3-4DC6-9B82-7EA5596EF3EC}"/>
            </c:ext>
          </c:extLst>
        </c:ser>
        <c:dLbls>
          <c:showLegendKey val="0"/>
          <c:showVal val="0"/>
          <c:showCatName val="0"/>
          <c:showSerName val="0"/>
          <c:showPercent val="0"/>
          <c:showBubbleSize val="0"/>
        </c:dLbls>
        <c:axId val="-83953648"/>
        <c:axId val="-83950928"/>
      </c:scatterChart>
      <c:valAx>
        <c:axId val="-83953648"/>
        <c:scaling>
          <c:orientation val="minMax"/>
          <c:max val="5.5"/>
          <c:min val="0.5"/>
        </c:scaling>
        <c:delete val="0"/>
        <c:axPos val="b"/>
        <c:title>
          <c:tx>
            <c:rich>
              <a:bodyPr/>
              <a:lstStyle/>
              <a:p>
                <a:pPr>
                  <a:defRPr sz="1400">
                    <a:latin typeface="Candara" panose="020E0502030303020204" pitchFamily="34" charset="0"/>
                  </a:defRPr>
                </a:pPr>
                <a:r>
                  <a:rPr lang="es-CO" sz="1400">
                    <a:latin typeface="Candara" panose="020E0502030303020204" pitchFamily="34" charset="0"/>
                  </a:rPr>
                  <a:t>Valoración consecuencia</a:t>
                </a:r>
              </a:p>
            </c:rich>
          </c:tx>
          <c:layout/>
          <c:overlay val="0"/>
        </c:title>
        <c:numFmt formatCode="0.00" sourceLinked="1"/>
        <c:majorTickMark val="none"/>
        <c:minorTickMark val="none"/>
        <c:tickLblPos val="nextTo"/>
        <c:txPr>
          <a:bodyPr/>
          <a:lstStyle/>
          <a:p>
            <a:pPr>
              <a:defRPr>
                <a:solidFill>
                  <a:schemeClr val="bg1"/>
                </a:solidFill>
              </a:defRPr>
            </a:pPr>
            <a:endParaRPr lang="es-CO"/>
          </a:p>
        </c:txPr>
        <c:crossAx val="-83950928"/>
        <c:crosses val="autoZero"/>
        <c:crossBetween val="midCat"/>
        <c:majorUnit val="0.5"/>
      </c:valAx>
      <c:valAx>
        <c:axId val="-83950928"/>
        <c:scaling>
          <c:orientation val="minMax"/>
          <c:max val="5.5"/>
          <c:min val="0.5"/>
        </c:scaling>
        <c:delete val="0"/>
        <c:axPos val="l"/>
        <c:title>
          <c:tx>
            <c:rich>
              <a:bodyPr rot="-5400000" vert="horz"/>
              <a:lstStyle/>
              <a:p>
                <a:pPr>
                  <a:defRPr sz="1400">
                    <a:latin typeface="Candara" panose="020E0502030303020204" pitchFamily="34" charset="0"/>
                  </a:defRPr>
                </a:pPr>
                <a:r>
                  <a:rPr lang="es-CO" sz="1400">
                    <a:latin typeface="Candara" panose="020E0502030303020204" pitchFamily="34" charset="0"/>
                  </a:rPr>
                  <a:t>Probabilidad</a:t>
                </a:r>
              </a:p>
            </c:rich>
          </c:tx>
          <c:layout/>
          <c:overlay val="0"/>
        </c:title>
        <c:numFmt formatCode="0.00" sourceLinked="1"/>
        <c:majorTickMark val="none"/>
        <c:minorTickMark val="none"/>
        <c:tickLblPos val="nextTo"/>
        <c:txPr>
          <a:bodyPr/>
          <a:lstStyle/>
          <a:p>
            <a:pPr>
              <a:defRPr>
                <a:solidFill>
                  <a:schemeClr val="bg1"/>
                </a:solidFill>
              </a:defRPr>
            </a:pPr>
            <a:endParaRPr lang="es-CO"/>
          </a:p>
        </c:txPr>
        <c:crossAx val="-83953648"/>
        <c:crosses val="autoZero"/>
        <c:crossBetween val="midCat"/>
        <c:majorUnit val="0.5"/>
      </c:valAx>
      <c:spPr>
        <a:blipFill>
          <a:blip xmlns:r="http://schemas.openxmlformats.org/officeDocument/2006/relationships" r:embed="rId1"/>
          <a:stretch>
            <a:fillRect/>
          </a:stretch>
        </a:blipFill>
      </c:spPr>
    </c:plotArea>
    <c:plotVisOnly val="1"/>
    <c:dispBlanksAs val="gap"/>
    <c:showDLblsOverMax val="0"/>
  </c:chart>
  <c:spPr>
    <a:noFill/>
    <a:ln>
      <a:noFill/>
    </a:ln>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latin typeface="Candara" panose="020E0502030303020204" pitchFamily="34" charset="0"/>
              </a:defRPr>
            </a:pPr>
            <a:r>
              <a:rPr lang="en-US">
                <a:latin typeface="Candara" panose="020E0502030303020204" pitchFamily="34" charset="0"/>
              </a:rPr>
              <a:t>Riesgo </a:t>
            </a:r>
            <a:r>
              <a:rPr lang="en-US" sz="1800" b="1" i="0" u="none" strike="noStrike" baseline="0">
                <a:effectLst/>
              </a:rPr>
              <a:t>residual </a:t>
            </a:r>
            <a:r>
              <a:rPr lang="en-US">
                <a:latin typeface="Candara" panose="020E0502030303020204" pitchFamily="34" charset="0"/>
              </a:rPr>
              <a:t>por factor de riesgo</a:t>
            </a:r>
          </a:p>
        </c:rich>
      </c:tx>
      <c:layout/>
      <c:overlay val="1"/>
    </c:title>
    <c:autoTitleDeleted val="0"/>
    <c:plotArea>
      <c:layout>
        <c:manualLayout>
          <c:layoutTarget val="inner"/>
          <c:xMode val="edge"/>
          <c:yMode val="edge"/>
          <c:x val="9.7565195273607616E-2"/>
          <c:y val="0.10108798707853826"/>
          <c:w val="0.87429977083632382"/>
          <c:h val="0.80337411669695136"/>
        </c:manualLayout>
      </c:layout>
      <c:scatterChart>
        <c:scatterStyle val="lineMarker"/>
        <c:varyColors val="0"/>
        <c:ser>
          <c:idx val="0"/>
          <c:order val="0"/>
          <c:tx>
            <c:strRef>
              <c:f>'Mapa de riesgo'!$I$34</c:f>
              <c:strCache>
                <c:ptCount val="1"/>
                <c:pt idx="0">
                  <c:v>P</c:v>
                </c:pt>
              </c:strCache>
            </c:strRef>
          </c:tx>
          <c:spPr>
            <a:ln w="28575">
              <a:solidFill>
                <a:schemeClr val="tx1"/>
              </a:solidFill>
            </a:ln>
          </c:spPr>
          <c:marker>
            <c:symbol val="circle"/>
            <c:size val="21"/>
            <c:spPr>
              <a:solidFill>
                <a:schemeClr val="tx1"/>
              </a:solidFill>
              <a:ln>
                <a:solidFill>
                  <a:schemeClr val="tx1"/>
                </a:solidFill>
              </a:ln>
            </c:spPr>
          </c:marker>
          <c:dLbls>
            <c:spPr>
              <a:noFill/>
              <a:ln>
                <a:noFill/>
              </a:ln>
              <a:effectLst/>
            </c:spPr>
            <c:txPr>
              <a:bodyPr/>
              <a:lstStyle/>
              <a:p>
                <a:pPr>
                  <a:defRPr sz="1200">
                    <a:solidFill>
                      <a:schemeClr val="bg1"/>
                    </a:solidFill>
                  </a:defRPr>
                </a:pPr>
                <a:endParaRPr lang="es-CO"/>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'RR Consolidado por FR'!$D$6</c:f>
              <c:numCache>
                <c:formatCode>0.00</c:formatCode>
                <c:ptCount val="1"/>
                <c:pt idx="0">
                  <c:v>1</c:v>
                </c:pt>
              </c:numCache>
            </c:numRef>
          </c:xVal>
          <c:yVal>
            <c:numRef>
              <c:f>'RR Consolidado por FR'!$C$6</c:f>
              <c:numCache>
                <c:formatCode>0.00</c:formatCode>
                <c:ptCount val="1"/>
                <c:pt idx="0">
                  <c:v>1</c:v>
                </c:pt>
              </c:numCache>
            </c:numRef>
          </c:yVal>
          <c:smooth val="0"/>
          <c:extLst>
            <c:ext xmlns:c16="http://schemas.microsoft.com/office/drawing/2014/chart" uri="{C3380CC4-5D6E-409C-BE32-E72D297353CC}">
              <c16:uniqueId val="{00000000-6ECA-47F3-A4CF-6EBCAB6931FE}"/>
            </c:ext>
          </c:extLst>
        </c:ser>
        <c:ser>
          <c:idx val="1"/>
          <c:order val="1"/>
          <c:tx>
            <c:strRef>
              <c:f>'Mapa de riesgo'!$I$35</c:f>
              <c:strCache>
                <c:ptCount val="1"/>
                <c:pt idx="0">
                  <c:v>C</c:v>
                </c:pt>
              </c:strCache>
            </c:strRef>
          </c:tx>
          <c:spPr>
            <a:ln w="28575">
              <a:noFill/>
            </a:ln>
          </c:spPr>
          <c:marker>
            <c:symbol val="circle"/>
            <c:size val="21"/>
            <c:spPr>
              <a:solidFill>
                <a:srgbClr val="6F2927"/>
              </a:solidFill>
              <a:ln>
                <a:solidFill>
                  <a:srgbClr val="6F2927"/>
                </a:solidFill>
              </a:ln>
            </c:spPr>
          </c:marker>
          <c:dLbls>
            <c:spPr>
              <a:noFill/>
              <a:ln>
                <a:noFill/>
              </a:ln>
              <a:effectLst/>
            </c:spPr>
            <c:txPr>
              <a:bodyPr/>
              <a:lstStyle/>
              <a:p>
                <a:pPr>
                  <a:defRPr sz="1200">
                    <a:solidFill>
                      <a:schemeClr val="bg1"/>
                    </a:solidFill>
                  </a:defRPr>
                </a:pPr>
                <a:endParaRPr lang="es-CO"/>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'RR Consolidado por FR'!$D$7</c:f>
              <c:numCache>
                <c:formatCode>0.00</c:formatCode>
                <c:ptCount val="1"/>
                <c:pt idx="0">
                  <c:v>2.25</c:v>
                </c:pt>
              </c:numCache>
            </c:numRef>
          </c:xVal>
          <c:yVal>
            <c:numRef>
              <c:f>'RR Consolidado por FR'!$C$7</c:f>
              <c:numCache>
                <c:formatCode>0.00</c:formatCode>
                <c:ptCount val="1"/>
                <c:pt idx="0">
                  <c:v>1.5</c:v>
                </c:pt>
              </c:numCache>
            </c:numRef>
          </c:yVal>
          <c:smooth val="0"/>
          <c:extLst>
            <c:ext xmlns:c16="http://schemas.microsoft.com/office/drawing/2014/chart" uri="{C3380CC4-5D6E-409C-BE32-E72D297353CC}">
              <c16:uniqueId val="{00000001-6ECA-47F3-A4CF-6EBCAB6931FE}"/>
            </c:ext>
          </c:extLst>
        </c:ser>
        <c:ser>
          <c:idx val="2"/>
          <c:order val="2"/>
          <c:tx>
            <c:strRef>
              <c:f>'Mapa de riesgo'!$I$36</c:f>
              <c:strCache>
                <c:ptCount val="1"/>
                <c:pt idx="0">
                  <c:v>J</c:v>
                </c:pt>
              </c:strCache>
            </c:strRef>
          </c:tx>
          <c:spPr>
            <a:ln w="28575">
              <a:noFill/>
            </a:ln>
          </c:spPr>
          <c:marker>
            <c:symbol val="circle"/>
            <c:size val="20"/>
            <c:spPr>
              <a:solidFill>
                <a:srgbClr val="002060"/>
              </a:solidFill>
              <a:ln>
                <a:solidFill>
                  <a:srgbClr val="002060"/>
                </a:solidFill>
              </a:ln>
            </c:spPr>
          </c:marker>
          <c:dLbls>
            <c:spPr>
              <a:noFill/>
              <a:ln>
                <a:noFill/>
              </a:ln>
              <a:effectLst/>
            </c:spPr>
            <c:txPr>
              <a:bodyPr/>
              <a:lstStyle/>
              <a:p>
                <a:pPr>
                  <a:defRPr sz="1200">
                    <a:solidFill>
                      <a:schemeClr val="bg1"/>
                    </a:solidFill>
                  </a:defRPr>
                </a:pPr>
                <a:endParaRPr lang="es-CO"/>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'RR Consolidado por FR'!#REF!</c:f>
            </c:numRef>
          </c:xVal>
          <c:yVal>
            <c:numRef>
              <c:f>'RR Consolidado por FR'!#REF!</c:f>
              <c:numCache>
                <c:formatCode>General</c:formatCode>
                <c:ptCount val="1"/>
                <c:pt idx="0">
                  <c:v>1</c:v>
                </c:pt>
              </c:numCache>
            </c:numRef>
          </c:yVal>
          <c:smooth val="0"/>
          <c:extLst>
            <c:ext xmlns:c16="http://schemas.microsoft.com/office/drawing/2014/chart" uri="{C3380CC4-5D6E-409C-BE32-E72D297353CC}">
              <c16:uniqueId val="{00000002-6ECA-47F3-A4CF-6EBCAB6931FE}"/>
            </c:ext>
          </c:extLst>
        </c:ser>
        <c:ser>
          <c:idx val="3"/>
          <c:order val="3"/>
          <c:tx>
            <c:strRef>
              <c:f>'Mapa de riesgo'!$I$37</c:f>
              <c:strCache>
                <c:ptCount val="1"/>
                <c:pt idx="0">
                  <c:v>S</c:v>
                </c:pt>
              </c:strCache>
            </c:strRef>
          </c:tx>
          <c:spPr>
            <a:ln>
              <a:solidFill>
                <a:schemeClr val="accent1"/>
              </a:solidFill>
            </a:ln>
          </c:spPr>
          <c:marker>
            <c:symbol val="circle"/>
            <c:size val="20"/>
            <c:spPr>
              <a:solidFill>
                <a:schemeClr val="tx2">
                  <a:lumMod val="60000"/>
                  <a:lumOff val="40000"/>
                </a:schemeClr>
              </a:solidFill>
            </c:spPr>
          </c:marker>
          <c:dLbls>
            <c:spPr>
              <a:noFill/>
              <a:ln>
                <a:noFill/>
              </a:ln>
              <a:effectLst/>
            </c:spPr>
            <c:txPr>
              <a:bodyPr/>
              <a:lstStyle/>
              <a:p>
                <a:pPr>
                  <a:defRPr sz="1400">
                    <a:solidFill>
                      <a:schemeClr val="bg1"/>
                    </a:solidFill>
                  </a:defRPr>
                </a:pPr>
                <a:endParaRPr lang="es-CO"/>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'RR Consolidado por FR'!$D$8</c:f>
              <c:numCache>
                <c:formatCode>0.00</c:formatCode>
                <c:ptCount val="1"/>
                <c:pt idx="0">
                  <c:v>0.7</c:v>
                </c:pt>
              </c:numCache>
            </c:numRef>
          </c:xVal>
          <c:yVal>
            <c:numRef>
              <c:f>'RR Consolidado por FR'!$C$8</c:f>
              <c:numCache>
                <c:formatCode>0.00</c:formatCode>
                <c:ptCount val="1"/>
                <c:pt idx="0">
                  <c:v>0.7</c:v>
                </c:pt>
              </c:numCache>
            </c:numRef>
          </c:yVal>
          <c:smooth val="0"/>
          <c:extLst>
            <c:ext xmlns:c16="http://schemas.microsoft.com/office/drawing/2014/chart" uri="{C3380CC4-5D6E-409C-BE32-E72D297353CC}">
              <c16:uniqueId val="{00000003-6ECA-47F3-A4CF-6EBCAB6931FE}"/>
            </c:ext>
          </c:extLst>
        </c:ser>
        <c:ser>
          <c:idx val="4"/>
          <c:order val="4"/>
          <c:tx>
            <c:strRef>
              <c:f>'Mapa de riesgo'!$L$34</c:f>
              <c:strCache>
                <c:ptCount val="1"/>
                <c:pt idx="0">
                  <c:v>Cl</c:v>
                </c:pt>
              </c:strCache>
            </c:strRef>
          </c:tx>
          <c:dLbls>
            <c:dLbl>
              <c:idx val="0"/>
              <c:spPr>
                <a:solidFill>
                  <a:schemeClr val="accent4"/>
                </a:solidFill>
              </c:spPr>
              <c:txPr>
                <a:bodyPr/>
                <a:lstStyle/>
                <a:p>
                  <a:pPr>
                    <a:defRPr sz="800" b="1"/>
                  </a:pPr>
                  <a:endParaRPr lang="es-CO"/>
                </a:p>
              </c:txPr>
              <c:dLblPos val="ctr"/>
              <c:showLegendKey val="0"/>
              <c:showVal val="0"/>
              <c:showCatName val="0"/>
              <c:showSerName val="1"/>
              <c:showPercent val="0"/>
              <c:showBubbleSize val="0"/>
              <c:extLst>
                <c:ext xmlns:c15="http://schemas.microsoft.com/office/drawing/2012/chart" uri="{CE6537A1-D6FC-4f65-9D91-7224C49458BB}">
                  <c15:spPr xmlns:c15="http://schemas.microsoft.com/office/drawing/2012/chart">
                    <a:prstGeom prst="ellipse">
                      <a:avLst/>
                    </a:prstGeom>
                  </c15:spPr>
                </c:ext>
                <c:ext xmlns:c16="http://schemas.microsoft.com/office/drawing/2014/chart" uri="{C3380CC4-5D6E-409C-BE32-E72D297353CC}">
                  <c16:uniqueId val="{00000004-DCDE-46E5-9E52-AFD410E59900}"/>
                </c:ext>
              </c:extLst>
            </c:dLbl>
            <c:spPr>
              <a:solidFill>
                <a:sysClr val="window" lastClr="FFFFFF"/>
              </a:solidFill>
              <a:ln>
                <a:solidFill>
                  <a:sysClr val="windowText" lastClr="000000">
                    <a:lumMod val="65000"/>
                    <a:lumOff val="35000"/>
                  </a:sysClr>
                </a:solidFill>
              </a:ln>
              <a:effectLst/>
            </c:spPr>
            <c:dLblPos val="ct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ellipse">
                    <a:avLst/>
                  </a:prstGeom>
                </c15:spPr>
                <c15:showLeaderLines val="0"/>
              </c:ext>
            </c:extLst>
          </c:dLbls>
          <c:xVal>
            <c:numRef>
              <c:f>'RR Consolidado por FR'!$D$9</c:f>
              <c:numCache>
                <c:formatCode>0.00</c:formatCode>
                <c:ptCount val="1"/>
                <c:pt idx="0">
                  <c:v>1.6666666666666667</c:v>
                </c:pt>
              </c:numCache>
            </c:numRef>
          </c:xVal>
          <c:yVal>
            <c:numRef>
              <c:f>'RR Consolidado por FR'!$C$9</c:f>
              <c:numCache>
                <c:formatCode>0.00</c:formatCode>
                <c:ptCount val="1"/>
                <c:pt idx="0">
                  <c:v>1.3333333333333333</c:v>
                </c:pt>
              </c:numCache>
            </c:numRef>
          </c:yVal>
          <c:smooth val="0"/>
          <c:extLst>
            <c:ext xmlns:c16="http://schemas.microsoft.com/office/drawing/2014/chart" uri="{C3380CC4-5D6E-409C-BE32-E72D297353CC}">
              <c16:uniqueId val="{00000001-DCDE-46E5-9E52-AFD410E59900}"/>
            </c:ext>
          </c:extLst>
        </c:ser>
        <c:ser>
          <c:idx val="5"/>
          <c:order val="5"/>
          <c:tx>
            <c:strRef>
              <c:f>'Mapa de riesgo'!$L$35</c:f>
              <c:strCache>
                <c:ptCount val="1"/>
                <c:pt idx="0">
                  <c:v>Di</c:v>
                </c:pt>
              </c:strCache>
            </c:strRef>
          </c:tx>
          <c:dLbls>
            <c:dLbl>
              <c:idx val="0"/>
              <c:spPr>
                <a:solidFill>
                  <a:schemeClr val="accent3"/>
                </a:solidFill>
              </c:spPr>
              <c:txPr>
                <a:bodyPr/>
                <a:lstStyle/>
                <a:p>
                  <a:pPr>
                    <a:defRPr sz="800" b="1"/>
                  </a:pPr>
                  <a:endParaRPr lang="es-CO"/>
                </a:p>
              </c:txPr>
              <c:dLblPos val="ctr"/>
              <c:showLegendKey val="0"/>
              <c:showVal val="0"/>
              <c:showCatName val="0"/>
              <c:showSerName val="1"/>
              <c:showPercent val="0"/>
              <c:showBubbleSize val="0"/>
              <c:extLst>
                <c:ext xmlns:c15="http://schemas.microsoft.com/office/drawing/2012/chart" uri="{CE6537A1-D6FC-4f65-9D91-7224C49458BB}">
                  <c15:spPr xmlns:c15="http://schemas.microsoft.com/office/drawing/2012/chart">
                    <a:prstGeom prst="ellipse">
                      <a:avLst/>
                    </a:prstGeom>
                  </c15:spPr>
                </c:ext>
                <c:ext xmlns:c16="http://schemas.microsoft.com/office/drawing/2014/chart" uri="{C3380CC4-5D6E-409C-BE32-E72D297353CC}">
                  <c16:uniqueId val="{00000005-DCDE-46E5-9E52-AFD410E59900}"/>
                </c:ext>
              </c:extLst>
            </c:dLbl>
            <c:spPr>
              <a:solidFill>
                <a:sysClr val="window" lastClr="FFFFFF"/>
              </a:solidFill>
              <a:ln>
                <a:solidFill>
                  <a:sysClr val="windowText" lastClr="000000">
                    <a:lumMod val="65000"/>
                    <a:lumOff val="35000"/>
                  </a:sysClr>
                </a:solidFill>
              </a:ln>
              <a:effectLst/>
            </c:spPr>
            <c:dLblPos val="ct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ellipse">
                    <a:avLst/>
                  </a:prstGeom>
                </c15:spPr>
                <c15:showLeaderLines val="0"/>
              </c:ext>
            </c:extLst>
          </c:dLbls>
          <c:xVal>
            <c:numRef>
              <c:f>'RR Consolidado por FR'!$D$10</c:f>
              <c:numCache>
                <c:formatCode>0.00</c:formatCode>
                <c:ptCount val="1"/>
                <c:pt idx="0">
                  <c:v>6.666666666666667</c:v>
                </c:pt>
              </c:numCache>
            </c:numRef>
          </c:xVal>
          <c:yVal>
            <c:numRef>
              <c:f>'RR Consolidado por FR'!$C$10</c:f>
              <c:numCache>
                <c:formatCode>0.00</c:formatCode>
                <c:ptCount val="1"/>
                <c:pt idx="0">
                  <c:v>3</c:v>
                </c:pt>
              </c:numCache>
            </c:numRef>
          </c:yVal>
          <c:smooth val="0"/>
          <c:extLst>
            <c:ext xmlns:c16="http://schemas.microsoft.com/office/drawing/2014/chart" uri="{C3380CC4-5D6E-409C-BE32-E72D297353CC}">
              <c16:uniqueId val="{00000002-DCDE-46E5-9E52-AFD410E59900}"/>
            </c:ext>
          </c:extLst>
        </c:ser>
        <c:ser>
          <c:idx val="6"/>
          <c:order val="6"/>
          <c:tx>
            <c:strRef>
              <c:f>'Mapa de riesgo'!$L$36</c:f>
              <c:strCache>
                <c:ptCount val="1"/>
                <c:pt idx="0">
                  <c:v>Co</c:v>
                </c:pt>
              </c:strCache>
            </c:strRef>
          </c:tx>
          <c:xVal>
            <c:numRef>
              <c:f>'RR Consolidado por FR'!#REF!</c:f>
            </c:numRef>
          </c:xVal>
          <c:yVal>
            <c:numRef>
              <c:f>'RR Consolidado por FR'!#REF!</c:f>
              <c:numCache>
                <c:formatCode>General</c:formatCode>
                <c:ptCount val="1"/>
                <c:pt idx="0">
                  <c:v>1</c:v>
                </c:pt>
              </c:numCache>
            </c:numRef>
          </c:yVal>
          <c:smooth val="0"/>
          <c:extLst>
            <c:ext xmlns:c16="http://schemas.microsoft.com/office/drawing/2014/chart" uri="{C3380CC4-5D6E-409C-BE32-E72D297353CC}">
              <c16:uniqueId val="{00000003-DCDE-46E5-9E52-AFD410E59900}"/>
            </c:ext>
          </c:extLst>
        </c:ser>
        <c:dLbls>
          <c:showLegendKey val="0"/>
          <c:showVal val="0"/>
          <c:showCatName val="0"/>
          <c:showSerName val="0"/>
          <c:showPercent val="0"/>
          <c:showBubbleSize val="0"/>
        </c:dLbls>
        <c:axId val="-83940592"/>
        <c:axId val="-83940048"/>
      </c:scatterChart>
      <c:valAx>
        <c:axId val="-83940592"/>
        <c:scaling>
          <c:orientation val="minMax"/>
          <c:max val="5.5"/>
          <c:min val="0.5"/>
        </c:scaling>
        <c:delete val="0"/>
        <c:axPos val="b"/>
        <c:title>
          <c:tx>
            <c:rich>
              <a:bodyPr/>
              <a:lstStyle/>
              <a:p>
                <a:pPr>
                  <a:defRPr sz="1400">
                    <a:latin typeface="Candara" panose="020E0502030303020204" pitchFamily="34" charset="0"/>
                  </a:defRPr>
                </a:pPr>
                <a:r>
                  <a:rPr lang="es-CO" sz="1400">
                    <a:latin typeface="Candara" panose="020E0502030303020204" pitchFamily="34" charset="0"/>
                  </a:rPr>
                  <a:t>Valoración consecuencia</a:t>
                </a:r>
              </a:p>
            </c:rich>
          </c:tx>
          <c:layout/>
          <c:overlay val="0"/>
        </c:title>
        <c:numFmt formatCode="0.00" sourceLinked="1"/>
        <c:majorTickMark val="none"/>
        <c:minorTickMark val="none"/>
        <c:tickLblPos val="nextTo"/>
        <c:txPr>
          <a:bodyPr/>
          <a:lstStyle/>
          <a:p>
            <a:pPr>
              <a:defRPr>
                <a:solidFill>
                  <a:schemeClr val="bg1"/>
                </a:solidFill>
              </a:defRPr>
            </a:pPr>
            <a:endParaRPr lang="es-CO"/>
          </a:p>
        </c:txPr>
        <c:crossAx val="-83940048"/>
        <c:crosses val="autoZero"/>
        <c:crossBetween val="midCat"/>
        <c:majorUnit val="0.5"/>
      </c:valAx>
      <c:valAx>
        <c:axId val="-83940048"/>
        <c:scaling>
          <c:orientation val="minMax"/>
          <c:max val="5.5"/>
          <c:min val="0.5"/>
        </c:scaling>
        <c:delete val="0"/>
        <c:axPos val="l"/>
        <c:title>
          <c:tx>
            <c:rich>
              <a:bodyPr rot="-5400000" vert="horz"/>
              <a:lstStyle/>
              <a:p>
                <a:pPr>
                  <a:defRPr sz="1400">
                    <a:latin typeface="Candara" panose="020E0502030303020204" pitchFamily="34" charset="0"/>
                  </a:defRPr>
                </a:pPr>
                <a:r>
                  <a:rPr lang="es-CO" sz="1400">
                    <a:latin typeface="Candara" panose="020E0502030303020204" pitchFamily="34" charset="0"/>
                  </a:rPr>
                  <a:t>Probabilidad</a:t>
                </a:r>
              </a:p>
            </c:rich>
          </c:tx>
          <c:layout/>
          <c:overlay val="0"/>
        </c:title>
        <c:numFmt formatCode="0.00" sourceLinked="1"/>
        <c:majorTickMark val="none"/>
        <c:minorTickMark val="none"/>
        <c:tickLblPos val="nextTo"/>
        <c:txPr>
          <a:bodyPr/>
          <a:lstStyle/>
          <a:p>
            <a:pPr>
              <a:defRPr>
                <a:solidFill>
                  <a:schemeClr val="bg1"/>
                </a:solidFill>
              </a:defRPr>
            </a:pPr>
            <a:endParaRPr lang="es-CO"/>
          </a:p>
        </c:txPr>
        <c:crossAx val="-83940592"/>
        <c:crosses val="autoZero"/>
        <c:crossBetween val="midCat"/>
        <c:majorUnit val="0.5"/>
      </c:valAx>
      <c:spPr>
        <a:blipFill>
          <a:blip xmlns:r="http://schemas.openxmlformats.org/officeDocument/2006/relationships" r:embed="rId1"/>
          <a:stretch>
            <a:fillRect/>
          </a:stretch>
        </a:blipFill>
      </c:spPr>
    </c:plotArea>
    <c:plotVisOnly val="1"/>
    <c:dispBlanksAs val="gap"/>
    <c:showDLblsOverMax val="0"/>
  </c:chart>
  <c:spPr>
    <a:noFill/>
    <a:ln>
      <a:noFill/>
    </a:ln>
  </c:sp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latin typeface="Candara" panose="020E0502030303020204" pitchFamily="34" charset="0"/>
              </a:defRPr>
            </a:pPr>
            <a:r>
              <a:rPr lang="en-US">
                <a:latin typeface="Candara" panose="020E0502030303020204" pitchFamily="34" charset="0"/>
              </a:rPr>
              <a:t>Riesgo </a:t>
            </a:r>
            <a:r>
              <a:rPr lang="en-US" sz="1800" b="1" i="0" u="none" strike="noStrike" baseline="0">
                <a:effectLst/>
              </a:rPr>
              <a:t>residual </a:t>
            </a:r>
            <a:r>
              <a:rPr lang="en-US">
                <a:latin typeface="Candara" panose="020E0502030303020204" pitchFamily="34" charset="0"/>
              </a:rPr>
              <a:t>por proceso/área de práctica</a:t>
            </a:r>
          </a:p>
        </c:rich>
      </c:tx>
      <c:layout>
        <c:manualLayout>
          <c:xMode val="edge"/>
          <c:yMode val="edge"/>
          <c:x val="0.19994364471352513"/>
          <c:y val="1.3545484777968173E-2"/>
        </c:manualLayout>
      </c:layout>
      <c:overlay val="1"/>
    </c:title>
    <c:autoTitleDeleted val="0"/>
    <c:plotArea>
      <c:layout>
        <c:manualLayout>
          <c:layoutTarget val="inner"/>
          <c:xMode val="edge"/>
          <c:yMode val="edge"/>
          <c:x val="8.9250421508290143E-2"/>
          <c:y val="0.10108798707853826"/>
          <c:w val="0.87429977083632382"/>
          <c:h val="0.80337411669695136"/>
        </c:manualLayout>
      </c:layout>
      <c:scatterChart>
        <c:scatterStyle val="lineMarker"/>
        <c:varyColors val="0"/>
        <c:ser>
          <c:idx val="0"/>
          <c:order val="0"/>
          <c:tx>
            <c:strRef>
              <c:f>'Mapa de riesgo'!$Q$34</c:f>
              <c:strCache>
                <c:ptCount val="1"/>
                <c:pt idx="0">
                  <c:v>Co</c:v>
                </c:pt>
              </c:strCache>
            </c:strRef>
          </c:tx>
          <c:spPr>
            <a:ln w="28575">
              <a:noFill/>
            </a:ln>
          </c:spPr>
          <c:marker>
            <c:symbol val="circle"/>
            <c:size val="19"/>
            <c:spPr>
              <a:solidFill>
                <a:schemeClr val="tx2">
                  <a:lumMod val="75000"/>
                </a:schemeClr>
              </a:solidFill>
            </c:spPr>
          </c:marker>
          <c:dLbls>
            <c:spPr>
              <a:noFill/>
              <a:ln>
                <a:noFill/>
              </a:ln>
              <a:effectLst/>
            </c:spPr>
            <c:txPr>
              <a:bodyPr/>
              <a:lstStyle/>
              <a:p>
                <a:pPr>
                  <a:defRPr>
                    <a:solidFill>
                      <a:schemeClr val="bg1"/>
                    </a:solidFill>
                  </a:defRPr>
                </a:pPr>
                <a:endParaRPr lang="es-CO"/>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'RR Consolidado por FR'!$J$6</c:f>
              <c:numCache>
                <c:formatCode>0.00</c:formatCode>
                <c:ptCount val="1"/>
                <c:pt idx="0">
                  <c:v>0</c:v>
                </c:pt>
              </c:numCache>
            </c:numRef>
          </c:xVal>
          <c:yVal>
            <c:numRef>
              <c:f>'RR Consolidado por FR'!$I$6</c:f>
              <c:numCache>
                <c:formatCode>0.00</c:formatCode>
                <c:ptCount val="1"/>
                <c:pt idx="0">
                  <c:v>0</c:v>
                </c:pt>
              </c:numCache>
            </c:numRef>
          </c:yVal>
          <c:smooth val="0"/>
          <c:extLst>
            <c:ext xmlns:c16="http://schemas.microsoft.com/office/drawing/2014/chart" uri="{C3380CC4-5D6E-409C-BE32-E72D297353CC}">
              <c16:uniqueId val="{00000000-C6F6-4C23-B438-58EFA5156D82}"/>
            </c:ext>
          </c:extLst>
        </c:ser>
        <c:ser>
          <c:idx val="1"/>
          <c:order val="1"/>
          <c:tx>
            <c:strRef>
              <c:f>'Mapa de riesgo'!$Q$35</c:f>
              <c:strCache>
                <c:ptCount val="1"/>
                <c:pt idx="0">
                  <c:v>Gs</c:v>
                </c:pt>
              </c:strCache>
            </c:strRef>
          </c:tx>
          <c:spPr>
            <a:ln w="28575">
              <a:noFill/>
            </a:ln>
          </c:spPr>
          <c:marker>
            <c:symbol val="circle"/>
            <c:size val="18"/>
          </c:marker>
          <c:dPt>
            <c:idx val="0"/>
            <c:marker>
              <c:spPr>
                <a:solidFill>
                  <a:schemeClr val="tx1"/>
                </a:solidFill>
                <a:ln>
                  <a:solidFill>
                    <a:schemeClr val="tx1"/>
                  </a:solidFill>
                </a:ln>
              </c:spPr>
            </c:marker>
            <c:bubble3D val="0"/>
            <c:extLst>
              <c:ext xmlns:c16="http://schemas.microsoft.com/office/drawing/2014/chart" uri="{C3380CC4-5D6E-409C-BE32-E72D297353CC}">
                <c16:uniqueId val="{00000001-C6F6-4C23-B438-58EFA5156D82}"/>
              </c:ext>
            </c:extLst>
          </c:dPt>
          <c:dLbls>
            <c:spPr>
              <a:noFill/>
              <a:ln>
                <a:noFill/>
              </a:ln>
              <a:effectLst/>
            </c:spPr>
            <c:txPr>
              <a:bodyPr/>
              <a:lstStyle/>
              <a:p>
                <a:pPr>
                  <a:defRPr sz="1000">
                    <a:solidFill>
                      <a:schemeClr val="bg1"/>
                    </a:solidFill>
                  </a:defRPr>
                </a:pPr>
                <a:endParaRPr lang="es-CO"/>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'RR Consolidado por FR'!$J$7</c:f>
              <c:numCache>
                <c:formatCode>0.00</c:formatCode>
                <c:ptCount val="1"/>
                <c:pt idx="0">
                  <c:v>1</c:v>
                </c:pt>
              </c:numCache>
            </c:numRef>
          </c:xVal>
          <c:yVal>
            <c:numRef>
              <c:f>'RR Consolidado por FR'!$I$7</c:f>
              <c:numCache>
                <c:formatCode>0.00</c:formatCode>
                <c:ptCount val="1"/>
                <c:pt idx="0">
                  <c:v>0.66666666666666663</c:v>
                </c:pt>
              </c:numCache>
            </c:numRef>
          </c:yVal>
          <c:smooth val="0"/>
          <c:extLst>
            <c:ext xmlns:c16="http://schemas.microsoft.com/office/drawing/2014/chart" uri="{C3380CC4-5D6E-409C-BE32-E72D297353CC}">
              <c16:uniqueId val="{00000002-C6F6-4C23-B438-58EFA5156D82}"/>
            </c:ext>
          </c:extLst>
        </c:ser>
        <c:ser>
          <c:idx val="2"/>
          <c:order val="2"/>
          <c:tx>
            <c:strRef>
              <c:f>'Mapa de riesgo'!$Q$36</c:f>
              <c:strCache>
                <c:ptCount val="1"/>
                <c:pt idx="0">
                  <c:v>El</c:v>
                </c:pt>
              </c:strCache>
            </c:strRef>
          </c:tx>
          <c:spPr>
            <a:ln w="28575">
              <a:noFill/>
            </a:ln>
          </c:spPr>
          <c:marker>
            <c:symbol val="circle"/>
            <c:size val="18"/>
            <c:spPr>
              <a:solidFill>
                <a:schemeClr val="accent2">
                  <a:lumMod val="75000"/>
                </a:schemeClr>
              </a:solidFill>
              <a:ln>
                <a:solidFill>
                  <a:srgbClr val="6F2927"/>
                </a:solidFill>
              </a:ln>
            </c:spPr>
          </c:marker>
          <c:dLbls>
            <c:spPr>
              <a:noFill/>
              <a:ln>
                <a:noFill/>
              </a:ln>
              <a:effectLst/>
            </c:spPr>
            <c:txPr>
              <a:bodyPr/>
              <a:lstStyle/>
              <a:p>
                <a:pPr>
                  <a:defRPr>
                    <a:solidFill>
                      <a:schemeClr val="bg1"/>
                    </a:solidFill>
                  </a:defRPr>
                </a:pPr>
                <a:endParaRPr lang="es-CO"/>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'RR Consolidado por FR'!$J$8</c:f>
              <c:numCache>
                <c:formatCode>0.00</c:formatCode>
                <c:ptCount val="1"/>
                <c:pt idx="0">
                  <c:v>0</c:v>
                </c:pt>
              </c:numCache>
            </c:numRef>
          </c:xVal>
          <c:yVal>
            <c:numRef>
              <c:f>'RR Consolidado por FR'!$I$8</c:f>
              <c:numCache>
                <c:formatCode>0.00</c:formatCode>
                <c:ptCount val="1"/>
                <c:pt idx="0">
                  <c:v>0</c:v>
                </c:pt>
              </c:numCache>
            </c:numRef>
          </c:yVal>
          <c:smooth val="0"/>
          <c:extLst>
            <c:ext xmlns:c16="http://schemas.microsoft.com/office/drawing/2014/chart" uri="{C3380CC4-5D6E-409C-BE32-E72D297353CC}">
              <c16:uniqueId val="{00000003-C6F6-4C23-B438-58EFA5156D82}"/>
            </c:ext>
          </c:extLst>
        </c:ser>
        <c:ser>
          <c:idx val="3"/>
          <c:order val="3"/>
          <c:tx>
            <c:strRef>
              <c:f>'Mapa de riesgo'!$Q$37</c:f>
              <c:strCache>
                <c:ptCount val="1"/>
                <c:pt idx="0">
                  <c:v>At</c:v>
                </c:pt>
              </c:strCache>
            </c:strRef>
          </c:tx>
          <c:spPr>
            <a:ln w="28575">
              <a:noFill/>
            </a:ln>
          </c:spPr>
          <c:marker>
            <c:symbol val="circle"/>
            <c:size val="18"/>
            <c:spPr>
              <a:ln>
                <a:solidFill>
                  <a:srgbClr val="7030A0"/>
                </a:solidFill>
              </a:ln>
            </c:spPr>
          </c:marker>
          <c:dLbls>
            <c:spPr>
              <a:noFill/>
              <a:ln>
                <a:noFill/>
              </a:ln>
              <a:effectLst/>
            </c:spPr>
            <c:txPr>
              <a:bodyPr/>
              <a:lstStyle/>
              <a:p>
                <a:pPr>
                  <a:defRPr>
                    <a:solidFill>
                      <a:schemeClr val="bg1"/>
                    </a:solidFill>
                  </a:defRPr>
                </a:pPr>
                <a:endParaRPr lang="es-CO"/>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'RR Consolidado por FR'!$J$9</c:f>
              <c:numCache>
                <c:formatCode>0.00</c:formatCode>
                <c:ptCount val="1"/>
                <c:pt idx="0">
                  <c:v>0</c:v>
                </c:pt>
              </c:numCache>
            </c:numRef>
          </c:xVal>
          <c:yVal>
            <c:numRef>
              <c:f>'RR Consolidado por FR'!$I$9</c:f>
              <c:numCache>
                <c:formatCode>0.00</c:formatCode>
                <c:ptCount val="1"/>
                <c:pt idx="0">
                  <c:v>0</c:v>
                </c:pt>
              </c:numCache>
            </c:numRef>
          </c:yVal>
          <c:smooth val="0"/>
          <c:extLst>
            <c:ext xmlns:c16="http://schemas.microsoft.com/office/drawing/2014/chart" uri="{C3380CC4-5D6E-409C-BE32-E72D297353CC}">
              <c16:uniqueId val="{00000004-C6F6-4C23-B438-58EFA5156D82}"/>
            </c:ext>
          </c:extLst>
        </c:ser>
        <c:ser>
          <c:idx val="4"/>
          <c:order val="4"/>
          <c:tx>
            <c:strRef>
              <c:f>'Mapa de riesgo'!$T$34</c:f>
              <c:strCache>
                <c:ptCount val="1"/>
                <c:pt idx="0">
                  <c:v>Eó</c:v>
                </c:pt>
              </c:strCache>
            </c:strRef>
          </c:tx>
          <c:spPr>
            <a:ln w="28575">
              <a:solidFill>
                <a:schemeClr val="bg2">
                  <a:lumMod val="75000"/>
                </a:schemeClr>
              </a:solidFill>
            </a:ln>
          </c:spPr>
          <c:marker>
            <c:symbol val="circle"/>
            <c:size val="20"/>
            <c:spPr>
              <a:solidFill>
                <a:schemeClr val="bg2">
                  <a:lumMod val="75000"/>
                </a:schemeClr>
              </a:solidFill>
              <a:ln>
                <a:solidFill>
                  <a:schemeClr val="bg2">
                    <a:lumMod val="75000"/>
                  </a:schemeClr>
                </a:solidFill>
              </a:ln>
            </c:spPr>
          </c:marker>
          <c:dLbls>
            <c:spPr>
              <a:noFill/>
              <a:ln>
                <a:noFill/>
              </a:ln>
              <a:effectLst/>
            </c:spPr>
            <c:txPr>
              <a:bodyPr/>
              <a:lstStyle/>
              <a:p>
                <a:pPr>
                  <a:defRPr sz="1050"/>
                </a:pPr>
                <a:endParaRPr lang="es-CO"/>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'RR Consolidado por FR'!$J$10</c:f>
              <c:numCache>
                <c:formatCode>0.00</c:formatCode>
                <c:ptCount val="1"/>
                <c:pt idx="0">
                  <c:v>2</c:v>
                </c:pt>
              </c:numCache>
            </c:numRef>
          </c:xVal>
          <c:yVal>
            <c:numRef>
              <c:f>'RR Consolidado por FR'!$I$10</c:f>
              <c:numCache>
                <c:formatCode>0.00</c:formatCode>
                <c:ptCount val="1"/>
                <c:pt idx="0">
                  <c:v>2</c:v>
                </c:pt>
              </c:numCache>
            </c:numRef>
          </c:yVal>
          <c:smooth val="0"/>
          <c:extLst>
            <c:ext xmlns:c16="http://schemas.microsoft.com/office/drawing/2014/chart" uri="{C3380CC4-5D6E-409C-BE32-E72D297353CC}">
              <c16:uniqueId val="{00000005-C6F6-4C23-B438-58EFA5156D82}"/>
            </c:ext>
          </c:extLst>
        </c:ser>
        <c:ser>
          <c:idx val="5"/>
          <c:order val="5"/>
          <c:tx>
            <c:strRef>
              <c:f>'Mapa de riesgo'!$T$35</c:f>
              <c:strCache>
                <c:ptCount val="1"/>
                <c:pt idx="0">
                  <c:v>Ge</c:v>
                </c:pt>
              </c:strCache>
            </c:strRef>
          </c:tx>
          <c:spPr>
            <a:ln w="28575">
              <a:noFill/>
            </a:ln>
          </c:spPr>
          <c:marker>
            <c:symbol val="circle"/>
            <c:size val="20"/>
            <c:spPr>
              <a:solidFill>
                <a:schemeClr val="bg1">
                  <a:lumMod val="65000"/>
                </a:schemeClr>
              </a:solidFill>
            </c:spPr>
          </c:marker>
          <c:dLbls>
            <c:spPr>
              <a:noFill/>
              <a:ln>
                <a:noFill/>
              </a:ln>
              <a:effectLst/>
            </c:spPr>
            <c:txPr>
              <a:bodyPr/>
              <a:lstStyle/>
              <a:p>
                <a:pPr>
                  <a:defRPr sz="900">
                    <a:solidFill>
                      <a:schemeClr val="bg1"/>
                    </a:solidFill>
                  </a:defRPr>
                </a:pPr>
                <a:endParaRPr lang="es-CO"/>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'RR Consolidado por FR'!$J$11</c:f>
              <c:numCache>
                <c:formatCode>0.00</c:formatCode>
                <c:ptCount val="1"/>
                <c:pt idx="0">
                  <c:v>0</c:v>
                </c:pt>
              </c:numCache>
            </c:numRef>
          </c:xVal>
          <c:yVal>
            <c:numRef>
              <c:f>'RR Consolidado por FR'!$I$11</c:f>
              <c:numCache>
                <c:formatCode>0.00</c:formatCode>
                <c:ptCount val="1"/>
                <c:pt idx="0">
                  <c:v>0</c:v>
                </c:pt>
              </c:numCache>
            </c:numRef>
          </c:yVal>
          <c:smooth val="0"/>
          <c:extLst>
            <c:ext xmlns:c16="http://schemas.microsoft.com/office/drawing/2014/chart" uri="{C3380CC4-5D6E-409C-BE32-E72D297353CC}">
              <c16:uniqueId val="{00000006-C6F6-4C23-B438-58EFA5156D82}"/>
            </c:ext>
          </c:extLst>
        </c:ser>
        <c:ser>
          <c:idx val="6"/>
          <c:order val="6"/>
          <c:tx>
            <c:strRef>
              <c:f>'Mapa de riesgo'!$T$36</c:f>
              <c:strCache>
                <c:ptCount val="1"/>
                <c:pt idx="0">
                  <c:v>Ge</c:v>
                </c:pt>
              </c:strCache>
            </c:strRef>
          </c:tx>
          <c:spPr>
            <a:ln w="28575">
              <a:noFill/>
            </a:ln>
          </c:spPr>
          <c:marker>
            <c:symbol val="circle"/>
            <c:size val="20"/>
          </c:marker>
          <c:dPt>
            <c:idx val="0"/>
            <c:marker>
              <c:spPr>
                <a:solidFill>
                  <a:srgbClr val="00B0F0"/>
                </a:solidFill>
              </c:spPr>
            </c:marker>
            <c:bubble3D val="0"/>
            <c:extLst>
              <c:ext xmlns:c16="http://schemas.microsoft.com/office/drawing/2014/chart" uri="{C3380CC4-5D6E-409C-BE32-E72D297353CC}">
                <c16:uniqueId val="{00000007-C6F6-4C23-B438-58EFA5156D82}"/>
              </c:ext>
            </c:extLst>
          </c:dPt>
          <c:dLbls>
            <c:dLbl>
              <c:idx val="0"/>
              <c:spPr/>
              <c:txPr>
                <a:bodyPr/>
                <a:lstStyle/>
                <a:p>
                  <a:pPr>
                    <a:defRPr sz="1000" b="1">
                      <a:solidFill>
                        <a:schemeClr val="bg1"/>
                      </a:solidFill>
                    </a:defRPr>
                  </a:pPr>
                  <a:endParaRPr lang="es-CO"/>
                </a:p>
              </c:txPr>
              <c:dLblPos val="ctr"/>
              <c:showLegendKey val="0"/>
              <c:showVal val="0"/>
              <c:showCatName val="0"/>
              <c:showSerName val="1"/>
              <c:showPercent val="0"/>
              <c:showBubbleSize val="0"/>
              <c:extLst>
                <c:ext xmlns:c16="http://schemas.microsoft.com/office/drawing/2014/chart" uri="{C3380CC4-5D6E-409C-BE32-E72D297353CC}">
                  <c16:uniqueId val="{00000007-C6F6-4C23-B438-58EFA5156D82}"/>
                </c:ext>
              </c:extLst>
            </c:dLbl>
            <c:spPr>
              <a:noFill/>
              <a:ln>
                <a:noFill/>
              </a:ln>
              <a:effectLst/>
            </c:spPr>
            <c:txPr>
              <a:bodyPr/>
              <a:lstStyle/>
              <a:p>
                <a:pPr>
                  <a:defRPr b="1"/>
                </a:pPr>
                <a:endParaRPr lang="es-CO"/>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'RR Consolidado por FR'!$J$12</c:f>
              <c:numCache>
                <c:formatCode>0.00</c:formatCode>
                <c:ptCount val="1"/>
                <c:pt idx="0">
                  <c:v>2</c:v>
                </c:pt>
              </c:numCache>
            </c:numRef>
          </c:xVal>
          <c:yVal>
            <c:numRef>
              <c:f>'RR Consolidado por FR'!$I$12</c:f>
              <c:numCache>
                <c:formatCode>0.00</c:formatCode>
                <c:ptCount val="1"/>
                <c:pt idx="0">
                  <c:v>3</c:v>
                </c:pt>
              </c:numCache>
            </c:numRef>
          </c:yVal>
          <c:smooth val="0"/>
          <c:extLst>
            <c:ext xmlns:c16="http://schemas.microsoft.com/office/drawing/2014/chart" uri="{C3380CC4-5D6E-409C-BE32-E72D297353CC}">
              <c16:uniqueId val="{00000008-C6F6-4C23-B438-58EFA5156D82}"/>
            </c:ext>
          </c:extLst>
        </c:ser>
        <c:ser>
          <c:idx val="7"/>
          <c:order val="7"/>
          <c:tx>
            <c:strRef>
              <c:f>'Mapa de riesgo'!$T$37</c:f>
              <c:strCache>
                <c:ptCount val="1"/>
                <c:pt idx="0">
                  <c:v>Gt</c:v>
                </c:pt>
              </c:strCache>
            </c:strRef>
          </c:tx>
          <c:spPr>
            <a:ln w="28575">
              <a:noFill/>
            </a:ln>
          </c:spPr>
          <c:dPt>
            <c:idx val="0"/>
            <c:marker>
              <c:symbol val="circle"/>
              <c:size val="20"/>
            </c:marker>
            <c:bubble3D val="0"/>
            <c:spPr>
              <a:ln>
                <a:solidFill>
                  <a:schemeClr val="accent1"/>
                </a:solidFill>
              </a:ln>
            </c:spPr>
            <c:extLst>
              <c:ext xmlns:c16="http://schemas.microsoft.com/office/drawing/2014/chart" uri="{C3380CC4-5D6E-409C-BE32-E72D297353CC}">
                <c16:uniqueId val="{0000000A-C6F6-4C23-B438-58EFA5156D82}"/>
              </c:ext>
            </c:extLst>
          </c:dPt>
          <c:dLbls>
            <c:dLbl>
              <c:idx val="0"/>
              <c:spPr/>
              <c:txPr>
                <a:bodyPr/>
                <a:lstStyle/>
                <a:p>
                  <a:pPr>
                    <a:defRPr>
                      <a:solidFill>
                        <a:schemeClr val="bg1"/>
                      </a:solidFill>
                    </a:defRPr>
                  </a:pPr>
                  <a:endParaRPr lang="es-CO"/>
                </a:p>
              </c:txPr>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A-C6F6-4C23-B438-58EFA5156D82}"/>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'RR Consolidado por FR'!$J$13</c:f>
              <c:numCache>
                <c:formatCode>0.00</c:formatCode>
                <c:ptCount val="1"/>
                <c:pt idx="0">
                  <c:v>0</c:v>
                </c:pt>
              </c:numCache>
            </c:numRef>
          </c:xVal>
          <c:yVal>
            <c:numRef>
              <c:f>'RR Consolidado por FR'!$I$13</c:f>
              <c:numCache>
                <c:formatCode>0.00</c:formatCode>
                <c:ptCount val="1"/>
                <c:pt idx="0">
                  <c:v>0</c:v>
                </c:pt>
              </c:numCache>
            </c:numRef>
          </c:yVal>
          <c:smooth val="0"/>
          <c:extLst>
            <c:ext xmlns:c16="http://schemas.microsoft.com/office/drawing/2014/chart" uri="{C3380CC4-5D6E-409C-BE32-E72D297353CC}">
              <c16:uniqueId val="{0000000B-C6F6-4C23-B438-58EFA5156D82}"/>
            </c:ext>
          </c:extLst>
        </c:ser>
        <c:ser>
          <c:idx val="8"/>
          <c:order val="8"/>
          <c:tx>
            <c:strRef>
              <c:f>'Mapa de riesgo'!$W$34</c:f>
              <c:strCache>
                <c:ptCount val="1"/>
                <c:pt idx="0">
                  <c:v>DN</c:v>
                </c:pt>
              </c:strCache>
            </c:strRef>
          </c:tx>
          <c:spPr>
            <a:ln w="28575">
              <a:noFill/>
            </a:ln>
          </c:spPr>
          <c:dLbls>
            <c:dLbl>
              <c:idx val="0"/>
              <c:spPr/>
              <c:txPr>
                <a:bodyPr/>
                <a:lstStyle/>
                <a:p>
                  <a:pPr>
                    <a:defRPr sz="700" b="1"/>
                  </a:pPr>
                  <a:endParaRPr lang="es-CO"/>
                </a:p>
              </c:txPr>
              <c:dLblPos val="ctr"/>
              <c:showLegendKey val="0"/>
              <c:showVal val="0"/>
              <c:showCatName val="0"/>
              <c:showSerName val="1"/>
              <c:showPercent val="0"/>
              <c:showBubbleSize val="0"/>
              <c:extLst>
                <c:ext xmlns:c15="http://schemas.microsoft.com/office/drawing/2012/chart" uri="{CE6537A1-D6FC-4f65-9D91-7224C49458BB}">
                  <c15:spPr xmlns:c15="http://schemas.microsoft.com/office/drawing/2012/chart">
                    <a:prstGeom prst="ellipse">
                      <a:avLst/>
                    </a:prstGeom>
                  </c15:spPr>
                </c:ext>
                <c:ext xmlns:c16="http://schemas.microsoft.com/office/drawing/2014/chart" uri="{C3380CC4-5D6E-409C-BE32-E72D297353CC}">
                  <c16:uniqueId val="{0000000C-D4BE-4B45-ACCE-43DA8EAE08B7}"/>
                </c:ext>
              </c:extLst>
            </c:dLbl>
            <c:spPr>
              <a:solidFill>
                <a:sysClr val="window" lastClr="FFFFFF"/>
              </a:solidFill>
              <a:ln>
                <a:solidFill>
                  <a:sysClr val="windowText" lastClr="000000">
                    <a:lumMod val="65000"/>
                    <a:lumOff val="35000"/>
                  </a:sysClr>
                </a:solidFill>
              </a:ln>
              <a:effectLst/>
            </c:spPr>
            <c:dLblPos val="ct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ellipse">
                    <a:avLst/>
                  </a:prstGeom>
                </c15:spPr>
                <c15:showLeaderLines val="0"/>
              </c:ext>
            </c:extLst>
          </c:dLbls>
          <c:xVal>
            <c:numRef>
              <c:f>'RR Consolidado por FR'!#REF!</c:f>
            </c:numRef>
          </c:xVal>
          <c:yVal>
            <c:numRef>
              <c:f>'RR Consolidado por FR'!#REF!</c:f>
              <c:numCache>
                <c:formatCode>General</c:formatCode>
                <c:ptCount val="1"/>
                <c:pt idx="0">
                  <c:v>1</c:v>
                </c:pt>
              </c:numCache>
            </c:numRef>
          </c:yVal>
          <c:smooth val="0"/>
          <c:extLst>
            <c:ext xmlns:c16="http://schemas.microsoft.com/office/drawing/2014/chart" uri="{C3380CC4-5D6E-409C-BE32-E72D297353CC}">
              <c16:uniqueId val="{00000005-D4BE-4B45-ACCE-43DA8EAE08B7}"/>
            </c:ext>
          </c:extLst>
        </c:ser>
        <c:ser>
          <c:idx val="9"/>
          <c:order val="9"/>
          <c:tx>
            <c:strRef>
              <c:f>'Mapa de riesgo'!$W$35</c:f>
              <c:strCache>
                <c:ptCount val="1"/>
                <c:pt idx="0">
                  <c:v>RS</c:v>
                </c:pt>
              </c:strCache>
            </c:strRef>
          </c:tx>
          <c:spPr>
            <a:ln w="28575">
              <a:noFill/>
            </a:ln>
          </c:spPr>
          <c:dLbls>
            <c:dLbl>
              <c:idx val="0"/>
              <c:spPr>
                <a:solidFill>
                  <a:schemeClr val="accent4"/>
                </a:solidFill>
              </c:spPr>
              <c:txPr>
                <a:bodyPr/>
                <a:lstStyle/>
                <a:p>
                  <a:pPr>
                    <a:defRPr sz="700" b="1"/>
                  </a:pPr>
                  <a:endParaRPr lang="es-CO"/>
                </a:p>
              </c:txPr>
              <c:dLblPos val="ctr"/>
              <c:showLegendKey val="0"/>
              <c:showVal val="0"/>
              <c:showCatName val="0"/>
              <c:showSerName val="1"/>
              <c:showPercent val="0"/>
              <c:showBubbleSize val="0"/>
              <c:extLst>
                <c:ext xmlns:c15="http://schemas.microsoft.com/office/drawing/2012/chart" uri="{CE6537A1-D6FC-4f65-9D91-7224C49458BB}">
                  <c15:spPr xmlns:c15="http://schemas.microsoft.com/office/drawing/2012/chart">
                    <a:prstGeom prst="ellipse">
                      <a:avLst/>
                    </a:prstGeom>
                  </c15:spPr>
                </c:ext>
                <c:ext xmlns:c16="http://schemas.microsoft.com/office/drawing/2014/chart" uri="{C3380CC4-5D6E-409C-BE32-E72D297353CC}">
                  <c16:uniqueId val="{0000000D-D4BE-4B45-ACCE-43DA8EAE08B7}"/>
                </c:ext>
              </c:extLst>
            </c:dLbl>
            <c:spPr>
              <a:solidFill>
                <a:sysClr val="window" lastClr="FFFFFF"/>
              </a:solidFill>
              <a:ln>
                <a:solidFill>
                  <a:sysClr val="windowText" lastClr="000000">
                    <a:lumMod val="65000"/>
                    <a:lumOff val="35000"/>
                  </a:sysClr>
                </a:solidFill>
              </a:ln>
              <a:effectLst/>
            </c:spPr>
            <c:dLblPos val="ct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ellipse">
                    <a:avLst/>
                  </a:prstGeom>
                </c15:spPr>
                <c15:showLeaderLines val="0"/>
              </c:ext>
            </c:extLst>
          </c:dLbls>
          <c:xVal>
            <c:numRef>
              <c:f>'RR Consolidado por FR'!#REF!</c:f>
            </c:numRef>
          </c:xVal>
          <c:yVal>
            <c:numRef>
              <c:f>'RR Consolidado por FR'!#REF!</c:f>
              <c:numCache>
                <c:formatCode>General</c:formatCode>
                <c:ptCount val="1"/>
                <c:pt idx="0">
                  <c:v>1</c:v>
                </c:pt>
              </c:numCache>
            </c:numRef>
          </c:yVal>
          <c:smooth val="0"/>
          <c:extLst>
            <c:ext xmlns:c16="http://schemas.microsoft.com/office/drawing/2014/chart" uri="{C3380CC4-5D6E-409C-BE32-E72D297353CC}">
              <c16:uniqueId val="{00000006-D4BE-4B45-ACCE-43DA8EAE08B7}"/>
            </c:ext>
          </c:extLst>
        </c:ser>
        <c:ser>
          <c:idx val="10"/>
          <c:order val="10"/>
          <c:tx>
            <c:strRef>
              <c:f>'Mapa de riesgo'!$W$36</c:f>
              <c:strCache>
                <c:ptCount val="1"/>
                <c:pt idx="0">
                  <c:v>So</c:v>
                </c:pt>
              </c:strCache>
            </c:strRef>
          </c:tx>
          <c:spPr>
            <a:ln w="28575">
              <a:noFill/>
            </a:ln>
          </c:spPr>
          <c:dLbls>
            <c:dLbl>
              <c:idx val="0"/>
              <c:spPr>
                <a:solidFill>
                  <a:schemeClr val="bg1">
                    <a:lumMod val="50000"/>
                  </a:schemeClr>
                </a:solidFill>
              </c:spPr>
              <c:txPr>
                <a:bodyPr/>
                <a:lstStyle/>
                <a:p>
                  <a:pPr>
                    <a:defRPr sz="700" b="1"/>
                  </a:pPr>
                  <a:endParaRPr lang="es-CO"/>
                </a:p>
              </c:txPr>
              <c:dLblPos val="ctr"/>
              <c:showLegendKey val="0"/>
              <c:showVal val="0"/>
              <c:showCatName val="0"/>
              <c:showSerName val="1"/>
              <c:showPercent val="0"/>
              <c:showBubbleSize val="0"/>
              <c:extLst>
                <c:ext xmlns:c15="http://schemas.microsoft.com/office/drawing/2012/chart" uri="{CE6537A1-D6FC-4f65-9D91-7224C49458BB}">
                  <c15:spPr xmlns:c15="http://schemas.microsoft.com/office/drawing/2012/chart">
                    <a:prstGeom prst="ellipse">
                      <a:avLst/>
                    </a:prstGeom>
                  </c15:spPr>
                </c:ext>
                <c:ext xmlns:c16="http://schemas.microsoft.com/office/drawing/2014/chart" uri="{C3380CC4-5D6E-409C-BE32-E72D297353CC}">
                  <c16:uniqueId val="{0000000E-D4BE-4B45-ACCE-43DA8EAE08B7}"/>
                </c:ext>
              </c:extLst>
            </c:dLbl>
            <c:spPr>
              <a:noFill/>
              <a:ln>
                <a:noFill/>
              </a:ln>
              <a:effectLst/>
            </c:spPr>
            <c:dLblPos val="ct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'RR Consolidado por FR'!#REF!</c:f>
            </c:numRef>
          </c:xVal>
          <c:yVal>
            <c:numRef>
              <c:f>'RR Consolidado por FR'!#REF!</c:f>
              <c:numCache>
                <c:formatCode>General</c:formatCode>
                <c:ptCount val="1"/>
                <c:pt idx="0">
                  <c:v>1</c:v>
                </c:pt>
              </c:numCache>
            </c:numRef>
          </c:yVal>
          <c:smooth val="0"/>
          <c:extLst>
            <c:ext xmlns:c16="http://schemas.microsoft.com/office/drawing/2014/chart" uri="{C3380CC4-5D6E-409C-BE32-E72D297353CC}">
              <c16:uniqueId val="{00000007-D4BE-4B45-ACCE-43DA8EAE08B7}"/>
            </c:ext>
          </c:extLst>
        </c:ser>
        <c:ser>
          <c:idx val="11"/>
          <c:order val="11"/>
          <c:tx>
            <c:strRef>
              <c:f>'Mapa de riesgo'!$W$37</c:f>
              <c:strCache>
                <c:ptCount val="1"/>
                <c:pt idx="0">
                  <c:v>EMI</c:v>
                </c:pt>
              </c:strCache>
            </c:strRef>
          </c:tx>
          <c:spPr>
            <a:ln w="28575">
              <a:noFill/>
            </a:ln>
          </c:spPr>
          <c:dLbls>
            <c:dLbl>
              <c:idx val="0"/>
              <c:spPr>
                <a:solidFill>
                  <a:schemeClr val="accent2"/>
                </a:solidFill>
              </c:spPr>
              <c:txPr>
                <a:bodyPr/>
                <a:lstStyle/>
                <a:p>
                  <a:pPr>
                    <a:defRPr sz="700" b="1"/>
                  </a:pPr>
                  <a:endParaRPr lang="es-CO"/>
                </a:p>
              </c:txPr>
              <c:dLblPos val="ctr"/>
              <c:showLegendKey val="0"/>
              <c:showVal val="0"/>
              <c:showCatName val="0"/>
              <c:showSerName val="1"/>
              <c:showPercent val="0"/>
              <c:showBubbleSize val="0"/>
              <c:extLst>
                <c:ext xmlns:c15="http://schemas.microsoft.com/office/drawing/2012/chart" uri="{CE6537A1-D6FC-4f65-9D91-7224C49458BB}">
                  <c15:spPr xmlns:c15="http://schemas.microsoft.com/office/drawing/2012/chart">
                    <a:prstGeom prst="ellipse">
                      <a:avLst/>
                    </a:prstGeom>
                  </c15:spPr>
                </c:ext>
                <c:ext xmlns:c16="http://schemas.microsoft.com/office/drawing/2014/chart" uri="{C3380CC4-5D6E-409C-BE32-E72D297353CC}">
                  <c16:uniqueId val="{0000000F-D4BE-4B45-ACCE-43DA8EAE08B7}"/>
                </c:ext>
              </c:extLst>
            </c:dLbl>
            <c:spPr>
              <a:solidFill>
                <a:sysClr val="window" lastClr="FFFFFF"/>
              </a:solidFill>
              <a:ln>
                <a:solidFill>
                  <a:sysClr val="windowText" lastClr="000000">
                    <a:lumMod val="65000"/>
                    <a:lumOff val="35000"/>
                  </a:sysClr>
                </a:solidFill>
              </a:ln>
              <a:effectLst/>
            </c:spPr>
            <c:dLblPos val="ct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ellipse">
                    <a:avLst/>
                  </a:prstGeom>
                </c15:spPr>
                <c15:showLeaderLines val="0"/>
              </c:ext>
            </c:extLst>
          </c:dLbls>
          <c:xVal>
            <c:numRef>
              <c:f>'RR Consolidado por FR'!#REF!</c:f>
            </c:numRef>
          </c:xVal>
          <c:yVal>
            <c:numRef>
              <c:f>'RR Consolidado por FR'!#REF!</c:f>
              <c:numCache>
                <c:formatCode>General</c:formatCode>
                <c:ptCount val="1"/>
                <c:pt idx="0">
                  <c:v>1</c:v>
                </c:pt>
              </c:numCache>
            </c:numRef>
          </c:yVal>
          <c:smooth val="0"/>
          <c:extLst>
            <c:ext xmlns:c16="http://schemas.microsoft.com/office/drawing/2014/chart" uri="{C3380CC4-5D6E-409C-BE32-E72D297353CC}">
              <c16:uniqueId val="{00000008-D4BE-4B45-ACCE-43DA8EAE08B7}"/>
            </c:ext>
          </c:extLst>
        </c:ser>
        <c:ser>
          <c:idx val="12"/>
          <c:order val="12"/>
          <c:tx>
            <c:strRef>
              <c:f>'Mapa de riesgo'!$Z$34</c:f>
              <c:strCache>
                <c:ptCount val="1"/>
              </c:strCache>
            </c:strRef>
          </c:tx>
          <c:spPr>
            <a:ln w="28575">
              <a:noFill/>
            </a:ln>
          </c:spPr>
          <c:dLbls>
            <c:dLbl>
              <c:idx val="0"/>
              <c:spPr>
                <a:solidFill>
                  <a:schemeClr val="accent3"/>
                </a:solidFill>
              </c:spPr>
              <c:txPr>
                <a:bodyPr/>
                <a:lstStyle/>
                <a:p>
                  <a:pPr>
                    <a:defRPr sz="700" b="1"/>
                  </a:pPr>
                  <a:endParaRPr lang="es-CO"/>
                </a:p>
              </c:txPr>
              <c:dLblPos val="ctr"/>
              <c:showLegendKey val="0"/>
              <c:showVal val="0"/>
              <c:showCatName val="0"/>
              <c:showSerName val="1"/>
              <c:showPercent val="0"/>
              <c:showBubbleSize val="0"/>
              <c:extLst>
                <c:ext xmlns:c15="http://schemas.microsoft.com/office/drawing/2012/chart" uri="{CE6537A1-D6FC-4f65-9D91-7224C49458BB}">
                  <c15:spPr xmlns:c15="http://schemas.microsoft.com/office/drawing/2012/chart">
                    <a:prstGeom prst="ellipse">
                      <a:avLst/>
                    </a:prstGeom>
                  </c15:spPr>
                </c:ext>
                <c:ext xmlns:c16="http://schemas.microsoft.com/office/drawing/2014/chart" uri="{C3380CC4-5D6E-409C-BE32-E72D297353CC}">
                  <c16:uniqueId val="{00000010-D4BE-4B45-ACCE-43DA8EAE08B7}"/>
                </c:ext>
              </c:extLst>
            </c:dLbl>
            <c:spPr>
              <a:solidFill>
                <a:sysClr val="window" lastClr="FFFFFF"/>
              </a:solidFill>
              <a:ln>
                <a:solidFill>
                  <a:sysClr val="windowText" lastClr="000000">
                    <a:lumMod val="65000"/>
                    <a:lumOff val="35000"/>
                  </a:sysClr>
                </a:solidFill>
              </a:ln>
              <a:effectLst/>
            </c:spPr>
            <c:dLblPos val="ct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ellipse">
                    <a:avLst/>
                  </a:prstGeom>
                </c15:spPr>
                <c15:showLeaderLines val="0"/>
              </c:ext>
            </c:extLst>
          </c:dLbls>
          <c:xVal>
            <c:numRef>
              <c:f>'RR Consolidado por FR'!#REF!</c:f>
            </c:numRef>
          </c:xVal>
          <c:yVal>
            <c:numRef>
              <c:f>'RR Consolidado por FR'!#REF!</c:f>
              <c:numCache>
                <c:formatCode>General</c:formatCode>
                <c:ptCount val="1"/>
                <c:pt idx="0">
                  <c:v>1</c:v>
                </c:pt>
              </c:numCache>
            </c:numRef>
          </c:yVal>
          <c:smooth val="0"/>
          <c:extLst>
            <c:ext xmlns:c16="http://schemas.microsoft.com/office/drawing/2014/chart" uri="{C3380CC4-5D6E-409C-BE32-E72D297353CC}">
              <c16:uniqueId val="{00000009-D4BE-4B45-ACCE-43DA8EAE08B7}"/>
            </c:ext>
          </c:extLst>
        </c:ser>
        <c:ser>
          <c:idx val="13"/>
          <c:order val="13"/>
          <c:tx>
            <c:strRef>
              <c:f>'Mapa de riesgo'!$Z$35</c:f>
              <c:strCache>
                <c:ptCount val="1"/>
              </c:strCache>
            </c:strRef>
          </c:tx>
          <c:spPr>
            <a:ln w="28575">
              <a:noFill/>
            </a:ln>
          </c:spPr>
          <c:dLbls>
            <c:dLbl>
              <c:idx val="0"/>
              <c:spPr>
                <a:solidFill>
                  <a:schemeClr val="accent6">
                    <a:lumMod val="50000"/>
                  </a:schemeClr>
                </a:solidFill>
              </c:spPr>
              <c:txPr>
                <a:bodyPr/>
                <a:lstStyle/>
                <a:p>
                  <a:pPr>
                    <a:defRPr sz="700" b="1"/>
                  </a:pPr>
                  <a:endParaRPr lang="es-CO"/>
                </a:p>
              </c:txPr>
              <c:dLblPos val="ctr"/>
              <c:showLegendKey val="0"/>
              <c:showVal val="0"/>
              <c:showCatName val="0"/>
              <c:showSerName val="1"/>
              <c:showPercent val="0"/>
              <c:showBubbleSize val="0"/>
              <c:extLst>
                <c:ext xmlns:c15="http://schemas.microsoft.com/office/drawing/2012/chart" uri="{CE6537A1-D6FC-4f65-9D91-7224C49458BB}">
                  <c15:spPr xmlns:c15="http://schemas.microsoft.com/office/drawing/2012/chart">
                    <a:prstGeom prst="ellipse">
                      <a:avLst/>
                    </a:prstGeom>
                  </c15:spPr>
                </c:ext>
                <c:ext xmlns:c16="http://schemas.microsoft.com/office/drawing/2014/chart" uri="{C3380CC4-5D6E-409C-BE32-E72D297353CC}">
                  <c16:uniqueId val="{00000011-D4BE-4B45-ACCE-43DA8EAE08B7}"/>
                </c:ext>
              </c:extLst>
            </c:dLbl>
            <c:spPr>
              <a:solidFill>
                <a:sysClr val="window" lastClr="FFFFFF"/>
              </a:solidFill>
              <a:ln>
                <a:solidFill>
                  <a:sysClr val="windowText" lastClr="000000">
                    <a:lumMod val="65000"/>
                    <a:lumOff val="35000"/>
                  </a:sysClr>
                </a:solidFill>
              </a:ln>
              <a:effectLst/>
            </c:spPr>
            <c:dLblPos val="ct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ellipse">
                    <a:avLst/>
                  </a:prstGeom>
                </c15:spPr>
                <c15:showLeaderLines val="0"/>
              </c:ext>
            </c:extLst>
          </c:dLbls>
          <c:xVal>
            <c:numRef>
              <c:f>'RR Consolidado por FR'!#REF!</c:f>
            </c:numRef>
          </c:xVal>
          <c:yVal>
            <c:numRef>
              <c:f>'RR Consolidado por FR'!#REF!</c:f>
              <c:numCache>
                <c:formatCode>General</c:formatCode>
                <c:ptCount val="1"/>
                <c:pt idx="0">
                  <c:v>1</c:v>
                </c:pt>
              </c:numCache>
            </c:numRef>
          </c:yVal>
          <c:smooth val="0"/>
          <c:extLst>
            <c:ext xmlns:c16="http://schemas.microsoft.com/office/drawing/2014/chart" uri="{C3380CC4-5D6E-409C-BE32-E72D297353CC}">
              <c16:uniqueId val="{0000000A-D4BE-4B45-ACCE-43DA8EAE08B7}"/>
            </c:ext>
          </c:extLst>
        </c:ser>
        <c:ser>
          <c:idx val="14"/>
          <c:order val="14"/>
          <c:tx>
            <c:strRef>
              <c:f>'Mapa de riesgo'!$Z$36</c:f>
              <c:strCache>
                <c:ptCount val="1"/>
              </c:strCache>
            </c:strRef>
          </c:tx>
          <c:spPr>
            <a:ln w="28575">
              <a:noFill/>
            </a:ln>
          </c:spPr>
          <c:dLbls>
            <c:dLbl>
              <c:idx val="0"/>
              <c:spPr>
                <a:solidFill>
                  <a:schemeClr val="accent1">
                    <a:lumMod val="60000"/>
                    <a:lumOff val="40000"/>
                  </a:schemeClr>
                </a:solidFill>
              </c:spPr>
              <c:txPr>
                <a:bodyPr/>
                <a:lstStyle/>
                <a:p>
                  <a:pPr>
                    <a:defRPr sz="700" b="1"/>
                  </a:pPr>
                  <a:endParaRPr lang="es-CO"/>
                </a:p>
              </c:txPr>
              <c:dLblPos val="ctr"/>
              <c:showLegendKey val="0"/>
              <c:showVal val="0"/>
              <c:showCatName val="0"/>
              <c:showSerName val="1"/>
              <c:showPercent val="0"/>
              <c:showBubbleSize val="0"/>
              <c:extLst>
                <c:ext xmlns:c15="http://schemas.microsoft.com/office/drawing/2012/chart" uri="{CE6537A1-D6FC-4f65-9D91-7224C49458BB}">
                  <c15:spPr xmlns:c15="http://schemas.microsoft.com/office/drawing/2012/chart">
                    <a:prstGeom prst="ellipse">
                      <a:avLst/>
                    </a:prstGeom>
                  </c15:spPr>
                </c:ext>
                <c:ext xmlns:c16="http://schemas.microsoft.com/office/drawing/2014/chart" uri="{C3380CC4-5D6E-409C-BE32-E72D297353CC}">
                  <c16:uniqueId val="{00000012-D4BE-4B45-ACCE-43DA8EAE08B7}"/>
                </c:ext>
              </c:extLst>
            </c:dLbl>
            <c:spPr>
              <a:solidFill>
                <a:sysClr val="window" lastClr="FFFFFF"/>
              </a:solidFill>
              <a:ln>
                <a:solidFill>
                  <a:sysClr val="windowText" lastClr="000000">
                    <a:lumMod val="65000"/>
                    <a:lumOff val="35000"/>
                  </a:sysClr>
                </a:solidFill>
              </a:ln>
              <a:effectLst/>
            </c:spPr>
            <c:dLblPos val="ctr"/>
            <c:showLegendKey val="0"/>
            <c:showVal val="0"/>
            <c:showCatName val="0"/>
            <c:showSerName val="1"/>
            <c:showPercent val="0"/>
            <c:showBubbleSize val="0"/>
            <c:showLeaderLines val="0"/>
            <c:extLst>
              <c:ext xmlns:c15="http://schemas.microsoft.com/office/drawing/2012/chart" uri="{CE6537A1-D6FC-4f65-9D91-7224C49458BB}">
                <c15:spPr xmlns:c15="http://schemas.microsoft.com/office/drawing/2012/chart">
                  <a:prstGeom prst="ellipse">
                    <a:avLst/>
                  </a:prstGeom>
                </c15:spPr>
                <c15:showLeaderLines val="0"/>
              </c:ext>
            </c:extLst>
          </c:dLbls>
          <c:xVal>
            <c:numRef>
              <c:f>'RR Consolidado por FR'!#REF!</c:f>
            </c:numRef>
          </c:xVal>
          <c:yVal>
            <c:numRef>
              <c:f>'RR Consolidado por FR'!#REF!</c:f>
              <c:numCache>
                <c:formatCode>General</c:formatCode>
                <c:ptCount val="1"/>
                <c:pt idx="0">
                  <c:v>1</c:v>
                </c:pt>
              </c:numCache>
            </c:numRef>
          </c:yVal>
          <c:smooth val="0"/>
          <c:extLst>
            <c:ext xmlns:c16="http://schemas.microsoft.com/office/drawing/2014/chart" uri="{C3380CC4-5D6E-409C-BE32-E72D297353CC}">
              <c16:uniqueId val="{0000000B-D4BE-4B45-ACCE-43DA8EAE08B7}"/>
            </c:ext>
          </c:extLst>
        </c:ser>
        <c:dLbls>
          <c:showLegendKey val="0"/>
          <c:showVal val="0"/>
          <c:showCatName val="0"/>
          <c:showSerName val="0"/>
          <c:showPercent val="0"/>
          <c:showBubbleSize val="0"/>
        </c:dLbls>
        <c:axId val="1341442416"/>
        <c:axId val="1341427728"/>
      </c:scatterChart>
      <c:valAx>
        <c:axId val="1341442416"/>
        <c:scaling>
          <c:orientation val="minMax"/>
          <c:max val="5.5"/>
          <c:min val="0.5"/>
        </c:scaling>
        <c:delete val="0"/>
        <c:axPos val="b"/>
        <c:title>
          <c:tx>
            <c:rich>
              <a:bodyPr/>
              <a:lstStyle/>
              <a:p>
                <a:pPr>
                  <a:defRPr sz="1400">
                    <a:latin typeface="Candara" panose="020E0502030303020204" pitchFamily="34" charset="0"/>
                  </a:defRPr>
                </a:pPr>
                <a:r>
                  <a:rPr lang="es-CO" sz="1400">
                    <a:latin typeface="Candara" panose="020E0502030303020204" pitchFamily="34" charset="0"/>
                  </a:rPr>
                  <a:t>Valoración consecuencia</a:t>
                </a:r>
              </a:p>
            </c:rich>
          </c:tx>
          <c:layout/>
          <c:overlay val="0"/>
        </c:title>
        <c:numFmt formatCode="0.00" sourceLinked="1"/>
        <c:majorTickMark val="none"/>
        <c:minorTickMark val="none"/>
        <c:tickLblPos val="nextTo"/>
        <c:txPr>
          <a:bodyPr/>
          <a:lstStyle/>
          <a:p>
            <a:pPr>
              <a:defRPr>
                <a:solidFill>
                  <a:schemeClr val="bg1"/>
                </a:solidFill>
              </a:defRPr>
            </a:pPr>
            <a:endParaRPr lang="es-CO"/>
          </a:p>
        </c:txPr>
        <c:crossAx val="1341427728"/>
        <c:crosses val="autoZero"/>
        <c:crossBetween val="midCat"/>
        <c:majorUnit val="0.5"/>
      </c:valAx>
      <c:valAx>
        <c:axId val="1341427728"/>
        <c:scaling>
          <c:orientation val="minMax"/>
          <c:max val="5.5"/>
          <c:min val="0.5"/>
        </c:scaling>
        <c:delete val="0"/>
        <c:axPos val="l"/>
        <c:title>
          <c:tx>
            <c:rich>
              <a:bodyPr rot="-5400000" vert="horz"/>
              <a:lstStyle/>
              <a:p>
                <a:pPr>
                  <a:defRPr sz="1400">
                    <a:latin typeface="Candara" panose="020E0502030303020204" pitchFamily="34" charset="0"/>
                  </a:defRPr>
                </a:pPr>
                <a:r>
                  <a:rPr lang="es-CO" sz="1400">
                    <a:latin typeface="Candara" panose="020E0502030303020204" pitchFamily="34" charset="0"/>
                  </a:rPr>
                  <a:t>Probabilidad</a:t>
                </a:r>
              </a:p>
            </c:rich>
          </c:tx>
          <c:layout/>
          <c:overlay val="0"/>
        </c:title>
        <c:numFmt formatCode="0.00" sourceLinked="1"/>
        <c:majorTickMark val="none"/>
        <c:minorTickMark val="none"/>
        <c:tickLblPos val="nextTo"/>
        <c:txPr>
          <a:bodyPr/>
          <a:lstStyle/>
          <a:p>
            <a:pPr>
              <a:defRPr>
                <a:solidFill>
                  <a:schemeClr val="bg1"/>
                </a:solidFill>
              </a:defRPr>
            </a:pPr>
            <a:endParaRPr lang="es-CO"/>
          </a:p>
        </c:txPr>
        <c:crossAx val="1341442416"/>
        <c:crosses val="autoZero"/>
        <c:crossBetween val="midCat"/>
        <c:majorUnit val="0.5"/>
      </c:valAx>
      <c:spPr>
        <a:blipFill>
          <a:blip xmlns:r="http://schemas.openxmlformats.org/officeDocument/2006/relationships" r:embed="rId1"/>
          <a:stretch>
            <a:fillRect/>
          </a:stretch>
        </a:blipFill>
      </c:spPr>
    </c:plotArea>
    <c:plotVisOnly val="1"/>
    <c:dispBlanksAs val="gap"/>
    <c:showDLblsOverMax val="0"/>
  </c:chart>
  <c:spPr>
    <a:noFill/>
    <a:ln>
      <a:noFill/>
    </a:ln>
  </c:sp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spc="0" baseline="0">
                <a:solidFill>
                  <a:srgbClr val="ED3338"/>
                </a:solidFill>
                <a:latin typeface="+mn-lt"/>
                <a:ea typeface="+mn-ea"/>
                <a:cs typeface="+mn-cs"/>
              </a:defRPr>
            </a:pPr>
            <a:r>
              <a:rPr lang="en-US" sz="1800" b="1">
                <a:solidFill>
                  <a:srgbClr val="ED3338"/>
                </a:solidFill>
              </a:rPr>
              <a:t>Promedio</a:t>
            </a:r>
            <a:r>
              <a:rPr lang="en-US" sz="1800" b="1" baseline="0">
                <a:solidFill>
                  <a:srgbClr val="ED3338"/>
                </a:solidFill>
              </a:rPr>
              <a:t> </a:t>
            </a:r>
            <a:r>
              <a:rPr lang="en-US" sz="1800" b="1">
                <a:solidFill>
                  <a:srgbClr val="ED3338"/>
                </a:solidFill>
              </a:rPr>
              <a:t>Riesgos asociados (inherentes)</a:t>
            </a:r>
          </a:p>
        </c:rich>
      </c:tx>
      <c:layout/>
      <c:overlay val="0"/>
      <c:spPr>
        <a:noFill/>
        <a:ln>
          <a:noFill/>
        </a:ln>
        <a:effectLst/>
      </c:spPr>
      <c:txPr>
        <a:bodyPr rot="0" spcFirstLastPara="1" vertOverflow="ellipsis" vert="horz" wrap="square" anchor="ctr" anchorCtr="1"/>
        <a:lstStyle/>
        <a:p>
          <a:pPr>
            <a:defRPr sz="1800" b="1" i="0" u="none" strike="noStrike" kern="1200" spc="0" baseline="0">
              <a:solidFill>
                <a:srgbClr val="ED3338"/>
              </a:solidFill>
              <a:latin typeface="+mn-lt"/>
              <a:ea typeface="+mn-ea"/>
              <a:cs typeface="+mn-cs"/>
            </a:defRPr>
          </a:pPr>
          <a:endParaRPr lang="es-CO"/>
        </a:p>
      </c:txPr>
    </c:title>
    <c:autoTitleDeleted val="0"/>
    <c:plotArea>
      <c:layout/>
      <c:barChart>
        <c:barDir val="col"/>
        <c:grouping val="clustered"/>
        <c:varyColors val="0"/>
        <c:ser>
          <c:idx val="0"/>
          <c:order val="0"/>
          <c:tx>
            <c:strRef>
              <c:f>'RI Consolidado por FR'!$M$5</c:f>
              <c:strCache>
                <c:ptCount val="1"/>
                <c:pt idx="0">
                  <c:v>Promedio</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1400" b="0" i="0" u="none" strike="noStrike" kern="1200" baseline="0">
                    <a:solidFill>
                      <a:schemeClr val="bg1"/>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'RI Consolidado por FR'!$L$6:$L$9</c:f>
              <c:strCache>
                <c:ptCount val="4"/>
                <c:pt idx="0">
                  <c:v>Riesgo de Contagio</c:v>
                </c:pt>
                <c:pt idx="1">
                  <c:v>Riesgo Legal</c:v>
                </c:pt>
                <c:pt idx="2">
                  <c:v>Riesgo Reputacional</c:v>
                </c:pt>
                <c:pt idx="3">
                  <c:v>Riesgo Operativo</c:v>
                </c:pt>
              </c:strCache>
            </c:strRef>
          </c:cat>
          <c:val>
            <c:numRef>
              <c:f>'RI Consolidado por FR'!$M$6:$M$9</c:f>
              <c:numCache>
                <c:formatCode>0.00</c:formatCode>
                <c:ptCount val="4"/>
                <c:pt idx="0">
                  <c:v>2.9333333333333331</c:v>
                </c:pt>
                <c:pt idx="1">
                  <c:v>3.6</c:v>
                </c:pt>
                <c:pt idx="2">
                  <c:v>3.7333333333333334</c:v>
                </c:pt>
                <c:pt idx="3">
                  <c:v>3</c:v>
                </c:pt>
              </c:numCache>
            </c:numRef>
          </c:val>
          <c:extLst>
            <c:ext xmlns:c16="http://schemas.microsoft.com/office/drawing/2014/chart" uri="{C3380CC4-5D6E-409C-BE32-E72D297353CC}">
              <c16:uniqueId val="{00000000-97C2-439F-A022-F83F197A5B08}"/>
            </c:ext>
          </c:extLst>
        </c:ser>
        <c:dLbls>
          <c:dLblPos val="outEnd"/>
          <c:showLegendKey val="0"/>
          <c:showVal val="1"/>
          <c:showCatName val="0"/>
          <c:showSerName val="0"/>
          <c:showPercent val="0"/>
          <c:showBubbleSize val="0"/>
        </c:dLbls>
        <c:gapWidth val="219"/>
        <c:overlap val="-27"/>
        <c:axId val="42694880"/>
        <c:axId val="42693632"/>
      </c:barChart>
      <c:catAx>
        <c:axId val="426948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s-CO"/>
          </a:p>
        </c:txPr>
        <c:crossAx val="42693632"/>
        <c:crosses val="autoZero"/>
        <c:auto val="1"/>
        <c:lblAlgn val="ctr"/>
        <c:lblOffset val="100"/>
        <c:noMultiLvlLbl val="0"/>
      </c:catAx>
      <c:valAx>
        <c:axId val="42693632"/>
        <c:scaling>
          <c:orientation val="minMax"/>
          <c:max val="5"/>
          <c:min val="1"/>
        </c:scaling>
        <c:delete val="0"/>
        <c:axPos val="l"/>
        <c:majorGridlines>
          <c:spPr>
            <a:ln w="9525" cap="flat" cmpd="sng" algn="ctr">
              <a:no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s-CO"/>
          </a:p>
        </c:txPr>
        <c:crossAx val="42694880"/>
        <c:crosses val="autoZero"/>
        <c:crossBetween val="between"/>
        <c:majorUnit val="1"/>
      </c:valAx>
      <c:spPr>
        <a:blipFill>
          <a:blip xmlns:r="http://schemas.openxmlformats.org/officeDocument/2006/relationships" r:embed="rId3"/>
          <a:stretch>
            <a:fillRect/>
          </a:stretch>
        </a:blipFill>
        <a:ln>
          <a:noFill/>
        </a:ln>
        <a:effectLst/>
      </c:spPr>
    </c:plotArea>
    <c:plotVisOnly val="1"/>
    <c:dispBlanksAs val="gap"/>
    <c:showDLblsOverMax val="0"/>
    <c:extLst/>
  </c:chart>
  <c:spPr>
    <a:gradFill>
      <a:gsLst>
        <a:gs pos="0">
          <a:schemeClr val="bg1"/>
        </a:gs>
        <a:gs pos="100000">
          <a:schemeClr val="accent1">
            <a:lumMod val="30000"/>
            <a:lumOff val="70000"/>
          </a:schemeClr>
        </a:gs>
      </a:gsLst>
      <a:lin ang="5400000" scaled="1"/>
    </a:gradFill>
    <a:ln w="9525" cap="flat" cmpd="sng" algn="ctr">
      <a:noFill/>
      <a:round/>
    </a:ln>
    <a:effectLst/>
  </c:spPr>
  <c:txPr>
    <a:bodyPr/>
    <a:lstStyle/>
    <a:p>
      <a:pPr>
        <a:defRPr sz="1400"/>
      </a:pPr>
      <a:endParaRPr lang="es-CO"/>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spc="0" baseline="0">
                <a:solidFill>
                  <a:srgbClr val="ED3338"/>
                </a:solidFill>
                <a:latin typeface="+mn-lt"/>
                <a:ea typeface="+mn-ea"/>
                <a:cs typeface="+mn-cs"/>
              </a:defRPr>
            </a:pPr>
            <a:r>
              <a:rPr lang="es-CO" sz="1800" b="1">
                <a:solidFill>
                  <a:srgbClr val="ED3338"/>
                </a:solidFill>
              </a:rPr>
              <a:t>Promedio Riesgos asociados (Residual)</a:t>
            </a:r>
          </a:p>
        </c:rich>
      </c:tx>
      <c:layout/>
      <c:overlay val="0"/>
      <c:spPr>
        <a:noFill/>
        <a:ln>
          <a:noFill/>
        </a:ln>
        <a:effectLst/>
      </c:spPr>
      <c:txPr>
        <a:bodyPr rot="0" spcFirstLastPara="1" vertOverflow="ellipsis" vert="horz" wrap="square" anchor="ctr" anchorCtr="1"/>
        <a:lstStyle/>
        <a:p>
          <a:pPr>
            <a:defRPr sz="1800" b="1" i="0" u="none" strike="noStrike" kern="1200" spc="0" baseline="0">
              <a:solidFill>
                <a:srgbClr val="ED3338"/>
              </a:solidFill>
              <a:latin typeface="+mn-lt"/>
              <a:ea typeface="+mn-ea"/>
              <a:cs typeface="+mn-cs"/>
            </a:defRPr>
          </a:pPr>
          <a:endParaRPr lang="es-CO"/>
        </a:p>
      </c:txPr>
    </c:title>
    <c:autoTitleDeleted val="0"/>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1400" b="0" i="0" u="none" strike="noStrike" kern="1200" baseline="0">
                    <a:solidFill>
                      <a:schemeClr val="bg1"/>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'RR Consolidado por FR'!$L$6:$L$9</c:f>
              <c:strCache>
                <c:ptCount val="4"/>
                <c:pt idx="0">
                  <c:v>Riesgo de Contagio</c:v>
                </c:pt>
                <c:pt idx="1">
                  <c:v>Riesgo Legal</c:v>
                </c:pt>
                <c:pt idx="2">
                  <c:v>Riesgo Reputacional</c:v>
                </c:pt>
                <c:pt idx="3">
                  <c:v>Riesgo Operativo</c:v>
                </c:pt>
              </c:strCache>
            </c:strRef>
          </c:cat>
          <c:val>
            <c:numRef>
              <c:f>'RR Consolidado por FR'!$M$6:$M$9</c:f>
              <c:numCache>
                <c:formatCode>0.00</c:formatCode>
                <c:ptCount val="4"/>
                <c:pt idx="0">
                  <c:v>0.43333333333333335</c:v>
                </c:pt>
                <c:pt idx="1">
                  <c:v>0.62</c:v>
                </c:pt>
                <c:pt idx="2">
                  <c:v>0.38</c:v>
                </c:pt>
                <c:pt idx="3">
                  <c:v>0.44000000000000006</c:v>
                </c:pt>
              </c:numCache>
            </c:numRef>
          </c:val>
          <c:extLst>
            <c:ext xmlns:c16="http://schemas.microsoft.com/office/drawing/2014/chart" uri="{C3380CC4-5D6E-409C-BE32-E72D297353CC}">
              <c16:uniqueId val="{00000000-0055-49CC-92B1-140659ADED5E}"/>
            </c:ext>
          </c:extLst>
        </c:ser>
        <c:dLbls>
          <c:dLblPos val="outEnd"/>
          <c:showLegendKey val="0"/>
          <c:showVal val="1"/>
          <c:showCatName val="0"/>
          <c:showSerName val="0"/>
          <c:showPercent val="0"/>
          <c:showBubbleSize val="0"/>
        </c:dLbls>
        <c:gapWidth val="219"/>
        <c:overlap val="-27"/>
        <c:axId val="1399514047"/>
        <c:axId val="1399517791"/>
      </c:barChart>
      <c:catAx>
        <c:axId val="139951404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s-CO"/>
          </a:p>
        </c:txPr>
        <c:crossAx val="1399517791"/>
        <c:crosses val="autoZero"/>
        <c:auto val="1"/>
        <c:lblAlgn val="ctr"/>
        <c:lblOffset val="100"/>
        <c:noMultiLvlLbl val="0"/>
      </c:catAx>
      <c:valAx>
        <c:axId val="1399517791"/>
        <c:scaling>
          <c:orientation val="minMax"/>
          <c:max val="5"/>
          <c:min val="1"/>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s-CO"/>
          </a:p>
        </c:txPr>
        <c:crossAx val="1399514047"/>
        <c:crosses val="autoZero"/>
        <c:crossBetween val="between"/>
        <c:majorUnit val="1"/>
      </c:valAx>
      <c:spPr>
        <a:blipFill>
          <a:blip xmlns:r="http://schemas.openxmlformats.org/officeDocument/2006/relationships" r:embed="rId3"/>
          <a:stretch>
            <a:fillRect/>
          </a:stretch>
        </a:blipFill>
        <a:ln>
          <a:noFill/>
        </a:ln>
        <a:effectLst/>
      </c:spPr>
    </c:plotArea>
    <c:plotVisOnly val="1"/>
    <c:dispBlanksAs val="gap"/>
    <c:showDLblsOverMax val="0"/>
    <c:extLst/>
  </c:chart>
  <c:spPr>
    <a:gradFill>
      <a:gsLst>
        <a:gs pos="0">
          <a:schemeClr val="bg1"/>
        </a:gs>
        <a:gs pos="100000">
          <a:schemeClr val="accent1">
            <a:lumMod val="30000"/>
            <a:lumOff val="70000"/>
          </a:schemeClr>
        </a:gs>
      </a:gsLst>
      <a:lin ang="5400000" scaled="1"/>
    </a:gradFill>
    <a:ln w="9525" cap="flat" cmpd="sng" algn="ctr">
      <a:noFill/>
      <a:round/>
    </a:ln>
    <a:effectLst/>
  </c:spPr>
  <c:txPr>
    <a:bodyPr/>
    <a:lstStyle/>
    <a:p>
      <a:pPr>
        <a:defRPr sz="1400"/>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Tablas1!A1"/><Relationship Id="rId1" Type="http://schemas.openxmlformats.org/officeDocument/2006/relationships/hyperlink" Target="#Puntuaciones!A1"/></Relationships>
</file>

<file path=xl/drawings/_rels/drawing10.xml.rels><?xml version="1.0" encoding="UTF-8" standalone="yes"?>
<Relationships xmlns="http://schemas.openxmlformats.org/package/2006/relationships"><Relationship Id="rId1" Type="http://schemas.openxmlformats.org/officeDocument/2006/relationships/image" Target="../media/image8.png"/></Relationships>
</file>

<file path=xl/drawings/_rels/drawing1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image" Target="../media/image11.png"/></Relationships>
</file>

<file path=xl/drawings/_rels/drawing2.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Tablas1!A1"/><Relationship Id="rId1" Type="http://schemas.openxmlformats.org/officeDocument/2006/relationships/hyperlink" Target="#Puntuaciones!A1"/></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1" Type="http://schemas.openxmlformats.org/officeDocument/2006/relationships/image" Target="../media/image5.png"/></Relationships>
</file>

<file path=xl/drawings/_rels/drawing8.xml.rels><?xml version="1.0" encoding="UTF-8" standalone="yes"?>
<Relationships xmlns="http://schemas.openxmlformats.org/package/2006/relationships"><Relationship Id="rId1" Type="http://schemas.openxmlformats.org/officeDocument/2006/relationships/image" Target="../media/image6.png"/></Relationships>
</file>

<file path=xl/drawings/_rels/drawing9.xml.rels><?xml version="1.0" encoding="UTF-8" standalone="yes"?>
<Relationships xmlns="http://schemas.openxmlformats.org/package/2006/relationships"><Relationship Id="rId1" Type="http://schemas.openxmlformats.org/officeDocument/2006/relationships/image" Target="../media/image7.png"/></Relationships>
</file>

<file path=xl/drawings/drawing1.xml><?xml version="1.0" encoding="utf-8"?>
<xdr:wsDr xmlns:xdr="http://schemas.openxmlformats.org/drawingml/2006/spreadsheetDrawing" xmlns:a="http://schemas.openxmlformats.org/drawingml/2006/main">
  <xdr:twoCellAnchor>
    <xdr:from>
      <xdr:col>3</xdr:col>
      <xdr:colOff>494971</xdr:colOff>
      <xdr:row>0</xdr:row>
      <xdr:rowOff>160086</xdr:rowOff>
    </xdr:from>
    <xdr:to>
      <xdr:col>4</xdr:col>
      <xdr:colOff>2790265</xdr:colOff>
      <xdr:row>3</xdr:row>
      <xdr:rowOff>324972</xdr:rowOff>
    </xdr:to>
    <xdr:sp macro="" textlink="">
      <xdr:nvSpPr>
        <xdr:cNvPr id="38" name="37 Rectángulo redondeado">
          <a:extLst>
            <a:ext uri="{FF2B5EF4-FFF2-40B4-BE49-F238E27FC236}">
              <a16:creationId xmlns:a16="http://schemas.microsoft.com/office/drawing/2014/main" id="{00000000-0008-0000-0000-000026000000}"/>
            </a:ext>
          </a:extLst>
        </xdr:cNvPr>
        <xdr:cNvSpPr/>
      </xdr:nvSpPr>
      <xdr:spPr>
        <a:xfrm>
          <a:off x="2949059" y="160086"/>
          <a:ext cx="3113324" cy="702768"/>
        </a:xfrm>
        <a:prstGeom prst="roundRect">
          <a:avLst/>
        </a:prstGeom>
        <a:solidFill>
          <a:srgbClr val="ED3338"/>
        </a:solidFill>
        <a:ln w="19050">
          <a:solidFill>
            <a:schemeClr val="tx2">
              <a:lumMod val="50000"/>
            </a:schemeClr>
          </a:solidFill>
        </a:ln>
        <a:effectLst>
          <a:innerShdw blurRad="63500" dist="50800" dir="16200000">
            <a:prstClr val="black">
              <a:alpha val="50000"/>
            </a:prstClr>
          </a:innerShdw>
          <a:softEdge rad="12700"/>
        </a:effectLst>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2000" b="1">
              <a:latin typeface="Candara" panose="020E0502030303020204" pitchFamily="34" charset="0"/>
            </a:rPr>
            <a:t>CONTENIDO</a:t>
          </a:r>
        </a:p>
      </xdr:txBody>
    </xdr:sp>
    <xdr:clientData/>
  </xdr:twoCellAnchor>
  <xdr:twoCellAnchor>
    <xdr:from>
      <xdr:col>2</xdr:col>
      <xdr:colOff>753833</xdr:colOff>
      <xdr:row>5</xdr:row>
      <xdr:rowOff>123265</xdr:rowOff>
    </xdr:from>
    <xdr:to>
      <xdr:col>4</xdr:col>
      <xdr:colOff>1022181</xdr:colOff>
      <xdr:row>10</xdr:row>
      <xdr:rowOff>69637</xdr:rowOff>
    </xdr:to>
    <xdr:sp macro="[0]!Macro1" textlink="">
      <xdr:nvSpPr>
        <xdr:cNvPr id="39" name="38 Rectángulo redondeado">
          <a:extLst>
            <a:ext uri="{FF2B5EF4-FFF2-40B4-BE49-F238E27FC236}">
              <a16:creationId xmlns:a16="http://schemas.microsoft.com/office/drawing/2014/main" id="{00000000-0008-0000-0000-000027000000}"/>
            </a:ext>
          </a:extLst>
        </xdr:cNvPr>
        <xdr:cNvSpPr/>
      </xdr:nvSpPr>
      <xdr:spPr>
        <a:xfrm>
          <a:off x="2389892" y="2106706"/>
          <a:ext cx="1904407" cy="842843"/>
        </a:xfrm>
        <a:prstGeom prst="roundRect">
          <a:avLst/>
        </a:prstGeom>
        <a:solidFill>
          <a:srgbClr val="980B27"/>
        </a:solidFill>
        <a:ln w="19050">
          <a:noFill/>
        </a:ln>
        <a:effectLst>
          <a:innerShdw blurRad="63500" dist="50800" dir="16200000">
            <a:prstClr val="black">
              <a:alpha val="50000"/>
            </a:prstClr>
          </a:innerShdw>
          <a:softEdge rad="12700"/>
        </a:effectLst>
        <a:scene3d>
          <a:camera prst="orthographicFront"/>
          <a:lightRig rig="threePt" dir="t"/>
        </a:scene3d>
        <a:sp3d>
          <a:bevelT/>
        </a:sp3d>
      </xdr:spPr>
      <xdr:style>
        <a:lnRef idx="3">
          <a:schemeClr val="lt1"/>
        </a:lnRef>
        <a:fillRef idx="1">
          <a:schemeClr val="accent1"/>
        </a:fillRef>
        <a:effectRef idx="1">
          <a:schemeClr val="accent1"/>
        </a:effectRef>
        <a:fontRef idx="minor">
          <a:schemeClr val="lt1"/>
        </a:fontRef>
      </xdr:style>
      <xdr:txBody>
        <a:bodyPr vertOverflow="clip" horzOverflow="clip" rtlCol="0" anchor="ctr"/>
        <a:lstStyle/>
        <a:p>
          <a:pPr algn="ctr"/>
          <a:r>
            <a:rPr lang="es-CO" sz="1400">
              <a:solidFill>
                <a:schemeClr val="bg1"/>
              </a:solidFill>
              <a:latin typeface="Candara" panose="020E0502030303020204" pitchFamily="34" charset="0"/>
            </a:rPr>
            <a:t>Riesgo</a:t>
          </a:r>
          <a:r>
            <a:rPr lang="es-CO" sz="1400" baseline="0">
              <a:solidFill>
                <a:schemeClr val="bg1"/>
              </a:solidFill>
              <a:latin typeface="Candara" panose="020E0502030303020204" pitchFamily="34" charset="0"/>
            </a:rPr>
            <a:t> inherente</a:t>
          </a:r>
          <a:endParaRPr lang="es-CO" sz="1400">
            <a:solidFill>
              <a:schemeClr val="bg1"/>
            </a:solidFill>
            <a:latin typeface="Candara" panose="020E0502030303020204" pitchFamily="34" charset="0"/>
          </a:endParaRPr>
        </a:p>
      </xdr:txBody>
    </xdr:sp>
    <xdr:clientData/>
  </xdr:twoCellAnchor>
  <xdr:twoCellAnchor>
    <xdr:from>
      <xdr:col>2</xdr:col>
      <xdr:colOff>768803</xdr:colOff>
      <xdr:row>12</xdr:row>
      <xdr:rowOff>10696</xdr:rowOff>
    </xdr:from>
    <xdr:to>
      <xdr:col>4</xdr:col>
      <xdr:colOff>1037152</xdr:colOff>
      <xdr:row>16</xdr:row>
      <xdr:rowOff>118385</xdr:rowOff>
    </xdr:to>
    <xdr:sp macro="[0]!Macro3" textlink="">
      <xdr:nvSpPr>
        <xdr:cNvPr id="40" name="39 Rectángulo redondeado">
          <a:extLst>
            <a:ext uri="{FF2B5EF4-FFF2-40B4-BE49-F238E27FC236}">
              <a16:creationId xmlns:a16="http://schemas.microsoft.com/office/drawing/2014/main" id="{00000000-0008-0000-0000-000028000000}"/>
            </a:ext>
          </a:extLst>
        </xdr:cNvPr>
        <xdr:cNvSpPr/>
      </xdr:nvSpPr>
      <xdr:spPr>
        <a:xfrm>
          <a:off x="2401660" y="3221982"/>
          <a:ext cx="1901206" cy="815260"/>
        </a:xfrm>
        <a:prstGeom prst="roundRect">
          <a:avLst/>
        </a:prstGeom>
        <a:solidFill>
          <a:srgbClr val="980B27"/>
        </a:solidFill>
        <a:ln w="19050">
          <a:noFill/>
        </a:ln>
        <a:effectLst>
          <a:innerShdw blurRad="63500" dist="50800" dir="16200000">
            <a:prstClr val="black">
              <a:alpha val="50000"/>
            </a:prstClr>
          </a:innerShdw>
          <a:softEdge rad="12700"/>
        </a:effectLst>
        <a:scene3d>
          <a:camera prst="orthographicFront"/>
          <a:lightRig rig="threePt" dir="t"/>
        </a:scene3d>
        <a:sp3d>
          <a:bevelT/>
        </a:sp3d>
      </xdr:spPr>
      <xdr:style>
        <a:lnRef idx="3">
          <a:schemeClr val="lt1"/>
        </a:lnRef>
        <a:fillRef idx="1">
          <a:schemeClr val="accent1"/>
        </a:fillRef>
        <a:effectRef idx="1">
          <a:schemeClr val="accent1"/>
        </a:effectRef>
        <a:fontRef idx="minor">
          <a:schemeClr val="lt1"/>
        </a:fontRef>
      </xdr:style>
      <xdr:txBody>
        <a:bodyPr vertOverflow="clip" horzOverflow="clip" rtlCol="0" anchor="ctr"/>
        <a:lstStyle/>
        <a:p>
          <a:pPr algn="ctr"/>
          <a:r>
            <a:rPr lang="es-CO" sz="1400">
              <a:solidFill>
                <a:schemeClr val="bg1"/>
              </a:solidFill>
              <a:latin typeface="Candara" panose="020E0502030303020204" pitchFamily="34" charset="0"/>
            </a:rPr>
            <a:t>Controles</a:t>
          </a:r>
        </a:p>
      </xdr:txBody>
    </xdr:sp>
    <xdr:clientData/>
  </xdr:twoCellAnchor>
  <xdr:twoCellAnchor>
    <xdr:from>
      <xdr:col>4</xdr:col>
      <xdr:colOff>1426669</xdr:colOff>
      <xdr:row>11</xdr:row>
      <xdr:rowOff>172371</xdr:rowOff>
    </xdr:from>
    <xdr:to>
      <xdr:col>4</xdr:col>
      <xdr:colOff>3327874</xdr:colOff>
      <xdr:row>16</xdr:row>
      <xdr:rowOff>116640</xdr:rowOff>
    </xdr:to>
    <xdr:sp macro="[0]!Macro4" textlink="">
      <xdr:nvSpPr>
        <xdr:cNvPr id="41" name="40 Rectángulo redondeado">
          <a:extLst>
            <a:ext uri="{FF2B5EF4-FFF2-40B4-BE49-F238E27FC236}">
              <a16:creationId xmlns:a16="http://schemas.microsoft.com/office/drawing/2014/main" id="{00000000-0008-0000-0000-000029000000}"/>
            </a:ext>
          </a:extLst>
        </xdr:cNvPr>
        <xdr:cNvSpPr/>
      </xdr:nvSpPr>
      <xdr:spPr>
        <a:xfrm>
          <a:off x="4698787" y="3231577"/>
          <a:ext cx="1901205" cy="840739"/>
        </a:xfrm>
        <a:prstGeom prst="roundRect">
          <a:avLst/>
        </a:prstGeom>
        <a:solidFill>
          <a:srgbClr val="980B27"/>
        </a:solidFill>
        <a:ln w="19050">
          <a:noFill/>
        </a:ln>
        <a:effectLst>
          <a:innerShdw blurRad="63500" dist="50800" dir="16200000">
            <a:prstClr val="black">
              <a:alpha val="50000"/>
            </a:prstClr>
          </a:innerShdw>
          <a:softEdge rad="12700"/>
        </a:effectLst>
        <a:scene3d>
          <a:camera prst="orthographicFront"/>
          <a:lightRig rig="threePt" dir="t"/>
        </a:scene3d>
        <a:sp3d>
          <a:bevelT/>
        </a:sp3d>
      </xdr:spPr>
      <xdr:style>
        <a:lnRef idx="3">
          <a:schemeClr val="lt1"/>
        </a:lnRef>
        <a:fillRef idx="1">
          <a:schemeClr val="accent1"/>
        </a:fillRef>
        <a:effectRef idx="1">
          <a:schemeClr val="accent1"/>
        </a:effectRef>
        <a:fontRef idx="minor">
          <a:schemeClr val="lt1"/>
        </a:fontRef>
      </xdr:style>
      <xdr:txBody>
        <a:bodyPr vertOverflow="clip" horzOverflow="clip" rtlCol="0" anchor="ctr"/>
        <a:lstStyle/>
        <a:p>
          <a:pPr algn="ctr"/>
          <a:r>
            <a:rPr lang="es-CO" sz="1400">
              <a:solidFill>
                <a:schemeClr val="bg1"/>
              </a:solidFill>
              <a:latin typeface="Candara" panose="020E0502030303020204" pitchFamily="34" charset="0"/>
            </a:rPr>
            <a:t>Riesgo</a:t>
          </a:r>
          <a:r>
            <a:rPr lang="es-CO" sz="1400" baseline="0">
              <a:solidFill>
                <a:schemeClr val="bg1"/>
              </a:solidFill>
              <a:latin typeface="Candara" panose="020E0502030303020204" pitchFamily="34" charset="0"/>
            </a:rPr>
            <a:t> residual</a:t>
          </a:r>
          <a:endParaRPr lang="es-CO" sz="1400">
            <a:solidFill>
              <a:schemeClr val="bg1"/>
            </a:solidFill>
            <a:latin typeface="Candara" panose="020E0502030303020204" pitchFamily="34" charset="0"/>
          </a:endParaRPr>
        </a:p>
      </xdr:txBody>
    </xdr:sp>
    <xdr:clientData/>
  </xdr:twoCellAnchor>
  <xdr:twoCellAnchor>
    <xdr:from>
      <xdr:col>4</xdr:col>
      <xdr:colOff>1425069</xdr:colOff>
      <xdr:row>18</xdr:row>
      <xdr:rowOff>130186</xdr:rowOff>
    </xdr:from>
    <xdr:to>
      <xdr:col>4</xdr:col>
      <xdr:colOff>3326274</xdr:colOff>
      <xdr:row>23</xdr:row>
      <xdr:rowOff>74456</xdr:rowOff>
    </xdr:to>
    <xdr:sp macro="[0]!Módulo1.Macro6" textlink="">
      <xdr:nvSpPr>
        <xdr:cNvPr id="42" name="41 Rectángulo redondeado">
          <a:extLst>
            <a:ext uri="{FF2B5EF4-FFF2-40B4-BE49-F238E27FC236}">
              <a16:creationId xmlns:a16="http://schemas.microsoft.com/office/drawing/2014/main" id="{00000000-0008-0000-0000-00002A000000}"/>
            </a:ext>
          </a:extLst>
        </xdr:cNvPr>
        <xdr:cNvSpPr/>
      </xdr:nvSpPr>
      <xdr:spPr>
        <a:xfrm>
          <a:off x="4690783" y="4402829"/>
          <a:ext cx="1901205" cy="828734"/>
        </a:xfrm>
        <a:prstGeom prst="roundRect">
          <a:avLst/>
        </a:prstGeom>
        <a:solidFill>
          <a:srgbClr val="980B27"/>
        </a:solidFill>
        <a:ln w="19050">
          <a:noFill/>
        </a:ln>
        <a:effectLst>
          <a:innerShdw blurRad="63500" dist="50800" dir="16200000">
            <a:prstClr val="black">
              <a:alpha val="50000"/>
            </a:prstClr>
          </a:innerShdw>
          <a:softEdge rad="12700"/>
        </a:effectLst>
        <a:scene3d>
          <a:camera prst="orthographicFront"/>
          <a:lightRig rig="threePt" dir="t"/>
        </a:scene3d>
        <a:sp3d>
          <a:bevelT/>
        </a:sp3d>
      </xdr:spPr>
      <xdr:style>
        <a:lnRef idx="3">
          <a:schemeClr val="lt1"/>
        </a:lnRef>
        <a:fillRef idx="1">
          <a:schemeClr val="accent1"/>
        </a:fillRef>
        <a:effectRef idx="1">
          <a:schemeClr val="accent1"/>
        </a:effectRef>
        <a:fontRef idx="minor">
          <a:schemeClr val="lt1"/>
        </a:fontRef>
      </xdr:style>
      <xdr:txBody>
        <a:bodyPr vertOverflow="clip" horzOverflow="clip" rtlCol="0" anchor="ctr"/>
        <a:lstStyle/>
        <a:p>
          <a:pPr algn="ctr"/>
          <a:r>
            <a:rPr lang="es-CO" sz="1400">
              <a:solidFill>
                <a:schemeClr val="bg1"/>
              </a:solidFill>
              <a:latin typeface="Candara" panose="020E0502030303020204" pitchFamily="34" charset="0"/>
            </a:rPr>
            <a:t>Mapa de</a:t>
          </a:r>
          <a:r>
            <a:rPr lang="es-CO" sz="1400" baseline="0">
              <a:solidFill>
                <a:schemeClr val="bg1"/>
              </a:solidFill>
              <a:latin typeface="Candara" panose="020E0502030303020204" pitchFamily="34" charset="0"/>
            </a:rPr>
            <a:t> riesgo</a:t>
          </a:r>
          <a:endParaRPr lang="es-CO" sz="1400">
            <a:solidFill>
              <a:schemeClr val="bg1"/>
            </a:solidFill>
            <a:latin typeface="Candara" panose="020E0502030303020204" pitchFamily="34" charset="0"/>
          </a:endParaRPr>
        </a:p>
      </xdr:txBody>
    </xdr:sp>
    <xdr:clientData/>
  </xdr:twoCellAnchor>
  <xdr:twoCellAnchor>
    <xdr:from>
      <xdr:col>2</xdr:col>
      <xdr:colOff>746511</xdr:colOff>
      <xdr:row>18</xdr:row>
      <xdr:rowOff>145675</xdr:rowOff>
    </xdr:from>
    <xdr:to>
      <xdr:col>4</xdr:col>
      <xdr:colOff>1098176</xdr:colOff>
      <xdr:row>23</xdr:row>
      <xdr:rowOff>76833</xdr:rowOff>
    </xdr:to>
    <xdr:sp macro="[0]!Macro5" textlink="">
      <xdr:nvSpPr>
        <xdr:cNvPr id="7" name="6 Rectángulo redondeado">
          <a:extLst>
            <a:ext uri="{FF2B5EF4-FFF2-40B4-BE49-F238E27FC236}">
              <a16:creationId xmlns:a16="http://schemas.microsoft.com/office/drawing/2014/main" id="{00000000-0008-0000-0000-000007000000}"/>
            </a:ext>
          </a:extLst>
        </xdr:cNvPr>
        <xdr:cNvSpPr/>
      </xdr:nvSpPr>
      <xdr:spPr>
        <a:xfrm>
          <a:off x="2382570" y="4459940"/>
          <a:ext cx="1987724" cy="827628"/>
        </a:xfrm>
        <a:prstGeom prst="roundRect">
          <a:avLst/>
        </a:prstGeom>
        <a:solidFill>
          <a:srgbClr val="980B27"/>
        </a:solidFill>
        <a:ln w="19050">
          <a:noFill/>
        </a:ln>
        <a:effectLst>
          <a:innerShdw blurRad="63500" dist="50800" dir="16200000">
            <a:prstClr val="black">
              <a:alpha val="50000"/>
            </a:prstClr>
          </a:innerShdw>
          <a:softEdge rad="12700"/>
        </a:effectLst>
        <a:scene3d>
          <a:camera prst="orthographicFront"/>
          <a:lightRig rig="threePt" dir="t"/>
        </a:scene3d>
        <a:sp3d>
          <a:bevelT/>
        </a:sp3d>
      </xdr:spPr>
      <xdr:style>
        <a:lnRef idx="3">
          <a:schemeClr val="lt1"/>
        </a:lnRef>
        <a:fillRef idx="1">
          <a:schemeClr val="accent1"/>
        </a:fillRef>
        <a:effectRef idx="1">
          <a:schemeClr val="accent1"/>
        </a:effectRef>
        <a:fontRef idx="minor">
          <a:schemeClr val="lt1"/>
        </a:fontRef>
      </xdr:style>
      <xdr:txBody>
        <a:bodyPr vertOverflow="clip" horzOverflow="clip" rtlCol="0" anchor="ctr"/>
        <a:lstStyle/>
        <a:p>
          <a:pPr algn="ctr"/>
          <a:r>
            <a:rPr lang="es-CO" sz="1400">
              <a:solidFill>
                <a:schemeClr val="bg1"/>
              </a:solidFill>
              <a:latin typeface="Candara" panose="020E0502030303020204" pitchFamily="34" charset="0"/>
            </a:rPr>
            <a:t>RR Consolidado por</a:t>
          </a:r>
          <a:r>
            <a:rPr lang="es-CO" sz="1400" baseline="0">
              <a:solidFill>
                <a:schemeClr val="bg1"/>
              </a:solidFill>
              <a:latin typeface="Candara" panose="020E0502030303020204" pitchFamily="34" charset="0"/>
            </a:rPr>
            <a:t> FR</a:t>
          </a:r>
          <a:endParaRPr lang="es-CO" sz="1400">
            <a:solidFill>
              <a:schemeClr val="bg1"/>
            </a:solidFill>
            <a:latin typeface="Candara" panose="020E0502030303020204" pitchFamily="34" charset="0"/>
          </a:endParaRPr>
        </a:p>
      </xdr:txBody>
    </xdr:sp>
    <xdr:clientData/>
  </xdr:twoCellAnchor>
  <xdr:twoCellAnchor>
    <xdr:from>
      <xdr:col>4</xdr:col>
      <xdr:colOff>1408338</xdr:colOff>
      <xdr:row>5</xdr:row>
      <xdr:rowOff>134831</xdr:rowOff>
    </xdr:from>
    <xdr:to>
      <xdr:col>4</xdr:col>
      <xdr:colOff>3309543</xdr:colOff>
      <xdr:row>10</xdr:row>
      <xdr:rowOff>79100</xdr:rowOff>
    </xdr:to>
    <xdr:sp macro="[0]!Macro2" textlink="">
      <xdr:nvSpPr>
        <xdr:cNvPr id="8" name="7 Rectángulo redondeado">
          <a:extLst>
            <a:ext uri="{FF2B5EF4-FFF2-40B4-BE49-F238E27FC236}">
              <a16:creationId xmlns:a16="http://schemas.microsoft.com/office/drawing/2014/main" id="{00000000-0008-0000-0000-000008000000}"/>
            </a:ext>
          </a:extLst>
        </xdr:cNvPr>
        <xdr:cNvSpPr/>
      </xdr:nvSpPr>
      <xdr:spPr>
        <a:xfrm>
          <a:off x="4680456" y="2118272"/>
          <a:ext cx="1901205" cy="840740"/>
        </a:xfrm>
        <a:prstGeom prst="roundRect">
          <a:avLst/>
        </a:prstGeom>
        <a:solidFill>
          <a:srgbClr val="980B27"/>
        </a:solidFill>
        <a:ln w="19050">
          <a:noFill/>
        </a:ln>
        <a:effectLst>
          <a:innerShdw blurRad="63500" dist="50800" dir="16200000">
            <a:prstClr val="black">
              <a:alpha val="50000"/>
            </a:prstClr>
          </a:innerShdw>
          <a:softEdge rad="12700"/>
        </a:effectLst>
        <a:scene3d>
          <a:camera prst="orthographicFront"/>
          <a:lightRig rig="threePt" dir="t"/>
        </a:scene3d>
        <a:sp3d>
          <a:bevelT/>
        </a:sp3d>
      </xdr:spPr>
      <xdr:style>
        <a:lnRef idx="3">
          <a:schemeClr val="lt1"/>
        </a:lnRef>
        <a:fillRef idx="1">
          <a:schemeClr val="accent1"/>
        </a:fillRef>
        <a:effectRef idx="1">
          <a:schemeClr val="accent1"/>
        </a:effectRef>
        <a:fontRef idx="minor">
          <a:schemeClr val="lt1"/>
        </a:fontRef>
      </xdr:style>
      <xdr:txBody>
        <a:bodyPr vertOverflow="clip" horzOverflow="clip" rtlCol="0" anchor="ctr"/>
        <a:lstStyle/>
        <a:p>
          <a:pPr algn="ctr"/>
          <a:r>
            <a:rPr lang="es-CO" sz="1400">
              <a:solidFill>
                <a:schemeClr val="bg1"/>
              </a:solidFill>
              <a:latin typeface="Candara" panose="020E0502030303020204" pitchFamily="34" charset="0"/>
            </a:rPr>
            <a:t>RI Consolidado por</a:t>
          </a:r>
          <a:r>
            <a:rPr lang="es-CO" sz="1400" baseline="0">
              <a:solidFill>
                <a:schemeClr val="bg1"/>
              </a:solidFill>
              <a:latin typeface="Candara" panose="020E0502030303020204" pitchFamily="34" charset="0"/>
            </a:rPr>
            <a:t> FR</a:t>
          </a:r>
          <a:endParaRPr lang="es-CO" sz="1400">
            <a:solidFill>
              <a:schemeClr val="bg1"/>
            </a:solidFill>
            <a:latin typeface="Candara" panose="020E0502030303020204" pitchFamily="34" charset="0"/>
          </a:endParaRPr>
        </a:p>
      </xdr:txBody>
    </xdr:sp>
    <xdr:clientData/>
  </xdr:twoCellAnchor>
  <xdr:twoCellAnchor>
    <xdr:from>
      <xdr:col>4</xdr:col>
      <xdr:colOff>1381126</xdr:colOff>
      <xdr:row>3</xdr:row>
      <xdr:rowOff>459200</xdr:rowOff>
    </xdr:from>
    <xdr:to>
      <xdr:col>4</xdr:col>
      <xdr:colOff>3282332</xdr:colOff>
      <xdr:row>3</xdr:row>
      <xdr:rowOff>1264354</xdr:rowOff>
    </xdr:to>
    <xdr:sp macro="[0]!Macro1" textlink="">
      <xdr:nvSpPr>
        <xdr:cNvPr id="9" name="38 Rectángulo redondeado">
          <a:hlinkClick xmlns:r="http://schemas.openxmlformats.org/officeDocument/2006/relationships" r:id="rId1"/>
          <a:extLst>
            <a:ext uri="{FF2B5EF4-FFF2-40B4-BE49-F238E27FC236}">
              <a16:creationId xmlns:a16="http://schemas.microsoft.com/office/drawing/2014/main" id="{00000000-0008-0000-0000-000009000000}"/>
            </a:ext>
          </a:extLst>
        </xdr:cNvPr>
        <xdr:cNvSpPr/>
      </xdr:nvSpPr>
      <xdr:spPr>
        <a:xfrm>
          <a:off x="4653244" y="997082"/>
          <a:ext cx="1901206" cy="805154"/>
        </a:xfrm>
        <a:prstGeom prst="roundRect">
          <a:avLst/>
        </a:prstGeom>
        <a:solidFill>
          <a:srgbClr val="980B27"/>
        </a:solidFill>
        <a:ln w="19050">
          <a:noFill/>
        </a:ln>
        <a:effectLst>
          <a:innerShdw blurRad="63500" dist="50800" dir="16200000">
            <a:prstClr val="black">
              <a:alpha val="50000"/>
            </a:prstClr>
          </a:innerShdw>
          <a:softEdge rad="12700"/>
        </a:effectLst>
        <a:scene3d>
          <a:camera prst="orthographicFront"/>
          <a:lightRig rig="threePt" dir="t"/>
        </a:scene3d>
        <a:sp3d>
          <a:bevelT/>
        </a:sp3d>
      </xdr:spPr>
      <xdr:style>
        <a:lnRef idx="3">
          <a:schemeClr val="lt1"/>
        </a:lnRef>
        <a:fillRef idx="1">
          <a:schemeClr val="accent1"/>
        </a:fillRef>
        <a:effectRef idx="1">
          <a:schemeClr val="accent1"/>
        </a:effectRef>
        <a:fontRef idx="minor">
          <a:schemeClr val="lt1"/>
        </a:fontRef>
      </xdr:style>
      <xdr:txBody>
        <a:bodyPr vertOverflow="clip" horzOverflow="clip" rtlCol="0" anchor="ctr"/>
        <a:lstStyle/>
        <a:p>
          <a:pPr algn="ctr"/>
          <a:r>
            <a:rPr lang="es-CO" sz="1400">
              <a:solidFill>
                <a:schemeClr val="bg1"/>
              </a:solidFill>
              <a:latin typeface="Candara" panose="020E0502030303020204" pitchFamily="34" charset="0"/>
            </a:rPr>
            <a:t>Puntuaciones</a:t>
          </a:r>
        </a:p>
      </xdr:txBody>
    </xdr:sp>
    <xdr:clientData/>
  </xdr:twoCellAnchor>
  <xdr:twoCellAnchor>
    <xdr:from>
      <xdr:col>2</xdr:col>
      <xdr:colOff>738868</xdr:colOff>
      <xdr:row>3</xdr:row>
      <xdr:rowOff>450396</xdr:rowOff>
    </xdr:from>
    <xdr:to>
      <xdr:col>4</xdr:col>
      <xdr:colOff>1007217</xdr:colOff>
      <xdr:row>3</xdr:row>
      <xdr:rowOff>1255550</xdr:rowOff>
    </xdr:to>
    <xdr:sp macro="[0]!Macro1" textlink="">
      <xdr:nvSpPr>
        <xdr:cNvPr id="10" name="38 Rectángulo redondeado">
          <a:hlinkClick xmlns:r="http://schemas.openxmlformats.org/officeDocument/2006/relationships" r:id="rId2"/>
          <a:extLst>
            <a:ext uri="{FF2B5EF4-FFF2-40B4-BE49-F238E27FC236}">
              <a16:creationId xmlns:a16="http://schemas.microsoft.com/office/drawing/2014/main" id="{00000000-0008-0000-0000-00000A000000}"/>
            </a:ext>
          </a:extLst>
        </xdr:cNvPr>
        <xdr:cNvSpPr/>
      </xdr:nvSpPr>
      <xdr:spPr>
        <a:xfrm>
          <a:off x="2371725" y="981075"/>
          <a:ext cx="1901206" cy="805154"/>
        </a:xfrm>
        <a:prstGeom prst="roundRect">
          <a:avLst/>
        </a:prstGeom>
        <a:solidFill>
          <a:srgbClr val="980B27"/>
        </a:solidFill>
        <a:ln w="19050">
          <a:noFill/>
        </a:ln>
        <a:effectLst>
          <a:innerShdw blurRad="63500" dist="50800" dir="16200000">
            <a:prstClr val="black">
              <a:alpha val="50000"/>
            </a:prstClr>
          </a:innerShdw>
          <a:softEdge rad="12700"/>
        </a:effectLst>
        <a:scene3d>
          <a:camera prst="orthographicFront"/>
          <a:lightRig rig="threePt" dir="t"/>
        </a:scene3d>
        <a:sp3d>
          <a:bevelT/>
        </a:sp3d>
      </xdr:spPr>
      <xdr:style>
        <a:lnRef idx="3">
          <a:schemeClr val="lt1"/>
        </a:lnRef>
        <a:fillRef idx="1">
          <a:schemeClr val="accent1"/>
        </a:fillRef>
        <a:effectRef idx="1">
          <a:schemeClr val="accent1"/>
        </a:effectRef>
        <a:fontRef idx="minor">
          <a:schemeClr val="lt1"/>
        </a:fontRef>
      </xdr:style>
      <xdr:txBody>
        <a:bodyPr vertOverflow="clip" horzOverflow="clip" rtlCol="0" anchor="ctr"/>
        <a:lstStyle/>
        <a:p>
          <a:pPr algn="ctr"/>
          <a:r>
            <a:rPr lang="es-CO" sz="1400">
              <a:solidFill>
                <a:schemeClr val="bg1"/>
              </a:solidFill>
              <a:latin typeface="Candara" panose="020E0502030303020204" pitchFamily="34" charset="0"/>
            </a:rPr>
            <a:t>Tablas</a:t>
          </a:r>
        </a:p>
      </xdr:txBody>
    </xdr:sp>
    <xdr:clientData/>
  </xdr:twoCellAnchor>
  <xdr:twoCellAnchor editAs="oneCell">
    <xdr:from>
      <xdr:col>4</xdr:col>
      <xdr:colOff>4531179</xdr:colOff>
      <xdr:row>0</xdr:row>
      <xdr:rowOff>0</xdr:rowOff>
    </xdr:from>
    <xdr:to>
      <xdr:col>4</xdr:col>
      <xdr:colOff>6674757</xdr:colOff>
      <xdr:row>3</xdr:row>
      <xdr:rowOff>1194163</xdr:rowOff>
    </xdr:to>
    <xdr:pic>
      <xdr:nvPicPr>
        <xdr:cNvPr id="3" name="Imagen 2">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7796893" y="0"/>
          <a:ext cx="2143578" cy="1724842"/>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228600</xdr:colOff>
      <xdr:row>0</xdr:row>
      <xdr:rowOff>133350</xdr:rowOff>
    </xdr:from>
    <xdr:to>
      <xdr:col>1</xdr:col>
      <xdr:colOff>1066799</xdr:colOff>
      <xdr:row>2</xdr:row>
      <xdr:rowOff>66675</xdr:rowOff>
    </xdr:to>
    <xdr:sp macro="[0]!Macro7" textlink="">
      <xdr:nvSpPr>
        <xdr:cNvPr id="4" name="1 Pentágono">
          <a:extLst>
            <a:ext uri="{FF2B5EF4-FFF2-40B4-BE49-F238E27FC236}">
              <a16:creationId xmlns:a16="http://schemas.microsoft.com/office/drawing/2014/main" id="{00000000-0008-0000-0E00-000004000000}"/>
            </a:ext>
          </a:extLst>
        </xdr:cNvPr>
        <xdr:cNvSpPr/>
      </xdr:nvSpPr>
      <xdr:spPr>
        <a:xfrm flipH="1">
          <a:off x="228600" y="133350"/>
          <a:ext cx="1381124" cy="314325"/>
        </a:xfrm>
        <a:prstGeom prst="homePlate">
          <a:avLst/>
        </a:prstGeom>
        <a:solidFill>
          <a:srgbClr val="980B27"/>
        </a:solidFill>
        <a:ln>
          <a:solidFill>
            <a:srgbClr val="980B27"/>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latin typeface="Candara" panose="020E0502030303020204" pitchFamily="34" charset="0"/>
            </a:rPr>
            <a:t>Contenido</a:t>
          </a:r>
          <a:endParaRPr lang="es-CO" sz="1200">
            <a:latin typeface="Candara" panose="020E0502030303020204" pitchFamily="34" charset="0"/>
          </a:endParaRPr>
        </a:p>
      </xdr:txBody>
    </xdr:sp>
    <xdr:clientData/>
  </xdr:twoCellAnchor>
  <xdr:twoCellAnchor>
    <xdr:from>
      <xdr:col>6</xdr:col>
      <xdr:colOff>744903</xdr:colOff>
      <xdr:row>12</xdr:row>
      <xdr:rowOff>21</xdr:rowOff>
    </xdr:from>
    <xdr:to>
      <xdr:col>10</xdr:col>
      <xdr:colOff>0</xdr:colOff>
      <xdr:row>12</xdr:row>
      <xdr:rowOff>21</xdr:rowOff>
    </xdr:to>
    <xdr:cxnSp macro="">
      <xdr:nvCxnSpPr>
        <xdr:cNvPr id="3" name="Conector recto 2">
          <a:extLst>
            <a:ext uri="{FF2B5EF4-FFF2-40B4-BE49-F238E27FC236}">
              <a16:creationId xmlns:a16="http://schemas.microsoft.com/office/drawing/2014/main" id="{00000000-0008-0000-0E00-000003000000}"/>
            </a:ext>
          </a:extLst>
        </xdr:cNvPr>
        <xdr:cNvCxnSpPr/>
      </xdr:nvCxnSpPr>
      <xdr:spPr>
        <a:xfrm flipH="1">
          <a:off x="20023503" y="2819421"/>
          <a:ext cx="4046172" cy="0"/>
        </a:xfrm>
        <a:prstGeom prst="line">
          <a:avLst/>
        </a:prstGeom>
        <a:ln>
          <a:solidFill>
            <a:schemeClr val="bg1">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xdr:col>
      <xdr:colOff>1095375</xdr:colOff>
      <xdr:row>0</xdr:row>
      <xdr:rowOff>0</xdr:rowOff>
    </xdr:from>
    <xdr:to>
      <xdr:col>1</xdr:col>
      <xdr:colOff>2038350</xdr:colOff>
      <xdr:row>3</xdr:row>
      <xdr:rowOff>114300</xdr:rowOff>
    </xdr:to>
    <xdr:pic>
      <xdr:nvPicPr>
        <xdr:cNvPr id="5" name="Imagen 4">
          <a:extLst>
            <a:ext uri="{FF2B5EF4-FFF2-40B4-BE49-F238E27FC236}">
              <a16:creationId xmlns:a16="http://schemas.microsoft.com/office/drawing/2014/main" id="{00000000-0008-0000-0E00-000005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38300" y="0"/>
          <a:ext cx="942975" cy="68580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xdr:from>
      <xdr:col>0</xdr:col>
      <xdr:colOff>511629</xdr:colOff>
      <xdr:row>5</xdr:row>
      <xdr:rowOff>43543</xdr:rowOff>
    </xdr:from>
    <xdr:to>
      <xdr:col>7</xdr:col>
      <xdr:colOff>375558</xdr:colOff>
      <xdr:row>28</xdr:row>
      <xdr:rowOff>121103</xdr:rowOff>
    </xdr:to>
    <xdr:graphicFrame macro="">
      <xdr:nvGraphicFramePr>
        <xdr:cNvPr id="6" name="5 Gráfico">
          <a:extLst>
            <a:ext uri="{FF2B5EF4-FFF2-40B4-BE49-F238E27FC236}">
              <a16:creationId xmlns:a16="http://schemas.microsoft.com/office/drawing/2014/main" id="{00000000-0008-0000-0F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718458</xdr:colOff>
      <xdr:row>3</xdr:row>
      <xdr:rowOff>163286</xdr:rowOff>
    </xdr:from>
    <xdr:to>
      <xdr:col>16</xdr:col>
      <xdr:colOff>54429</xdr:colOff>
      <xdr:row>28</xdr:row>
      <xdr:rowOff>84364</xdr:rowOff>
    </xdr:to>
    <xdr:graphicFrame macro="">
      <xdr:nvGraphicFramePr>
        <xdr:cNvPr id="7" name="6 Gráfico">
          <a:extLst>
            <a:ext uri="{FF2B5EF4-FFF2-40B4-BE49-F238E27FC236}">
              <a16:creationId xmlns:a16="http://schemas.microsoft.com/office/drawing/2014/main" id="{00000000-0008-0000-0F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16</xdr:col>
      <xdr:colOff>666752</xdr:colOff>
      <xdr:row>5</xdr:row>
      <xdr:rowOff>68036</xdr:rowOff>
    </xdr:from>
    <xdr:to>
      <xdr:col>23</xdr:col>
      <xdr:colOff>748393</xdr:colOff>
      <xdr:row>28</xdr:row>
      <xdr:rowOff>186418</xdr:rowOff>
    </xdr:to>
    <xdr:graphicFrame macro="">
      <xdr:nvGraphicFramePr>
        <xdr:cNvPr id="9" name="8 Gráfico">
          <a:extLst>
            <a:ext uri="{FF2B5EF4-FFF2-40B4-BE49-F238E27FC236}">
              <a16:creationId xmlns:a16="http://schemas.microsoft.com/office/drawing/2014/main" id="{00000000-0008-0000-0F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484910</xdr:colOff>
      <xdr:row>36</xdr:row>
      <xdr:rowOff>173182</xdr:rowOff>
    </xdr:from>
    <xdr:to>
      <xdr:col>7</xdr:col>
      <xdr:colOff>348839</xdr:colOff>
      <xdr:row>59</xdr:row>
      <xdr:rowOff>112197</xdr:rowOff>
    </xdr:to>
    <xdr:graphicFrame macro="">
      <xdr:nvGraphicFramePr>
        <xdr:cNvPr id="8" name="7 Gráfico">
          <a:extLst>
            <a:ext uri="{FF2B5EF4-FFF2-40B4-BE49-F238E27FC236}">
              <a16:creationId xmlns:a16="http://schemas.microsoft.com/office/drawing/2014/main" id="{00000000-0008-0000-0F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8</xdr:col>
      <xdr:colOff>671166</xdr:colOff>
      <xdr:row>36</xdr:row>
      <xdr:rowOff>155863</xdr:rowOff>
    </xdr:from>
    <xdr:to>
      <xdr:col>15</xdr:col>
      <xdr:colOff>711986</xdr:colOff>
      <xdr:row>59</xdr:row>
      <xdr:rowOff>166997</xdr:rowOff>
    </xdr:to>
    <xdr:graphicFrame macro="">
      <xdr:nvGraphicFramePr>
        <xdr:cNvPr id="10" name="9 Gráfico">
          <a:extLst>
            <a:ext uri="{FF2B5EF4-FFF2-40B4-BE49-F238E27FC236}">
              <a16:creationId xmlns:a16="http://schemas.microsoft.com/office/drawing/2014/main" id="{00000000-0008-0000-0F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17</xdr:col>
      <xdr:colOff>0</xdr:colOff>
      <xdr:row>37</xdr:row>
      <xdr:rowOff>0</xdr:rowOff>
    </xdr:from>
    <xdr:to>
      <xdr:col>24</xdr:col>
      <xdr:colOff>54428</xdr:colOff>
      <xdr:row>59</xdr:row>
      <xdr:rowOff>170337</xdr:rowOff>
    </xdr:to>
    <xdr:graphicFrame macro="">
      <xdr:nvGraphicFramePr>
        <xdr:cNvPr id="16" name="10 Gráfico">
          <a:extLst>
            <a:ext uri="{FF2B5EF4-FFF2-40B4-BE49-F238E27FC236}">
              <a16:creationId xmlns:a16="http://schemas.microsoft.com/office/drawing/2014/main" id="{00000000-0008-0000-0F00-00001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367393</xdr:colOff>
      <xdr:row>2</xdr:row>
      <xdr:rowOff>40822</xdr:rowOff>
    </xdr:from>
    <xdr:to>
      <xdr:col>2</xdr:col>
      <xdr:colOff>197303</xdr:colOff>
      <xdr:row>3</xdr:row>
      <xdr:rowOff>164647</xdr:rowOff>
    </xdr:to>
    <xdr:sp macro="[0]!Macro7" textlink="">
      <xdr:nvSpPr>
        <xdr:cNvPr id="11" name="1 Pentágono">
          <a:extLst>
            <a:ext uri="{FF2B5EF4-FFF2-40B4-BE49-F238E27FC236}">
              <a16:creationId xmlns:a16="http://schemas.microsoft.com/office/drawing/2014/main" id="{00000000-0008-0000-0F00-00000B000000}"/>
            </a:ext>
          </a:extLst>
        </xdr:cNvPr>
        <xdr:cNvSpPr/>
      </xdr:nvSpPr>
      <xdr:spPr>
        <a:xfrm flipH="1">
          <a:off x="367393" y="449036"/>
          <a:ext cx="1381124" cy="314325"/>
        </a:xfrm>
        <a:prstGeom prst="homePlate">
          <a:avLst/>
        </a:prstGeom>
        <a:solidFill>
          <a:srgbClr val="980B27"/>
        </a:solidFill>
        <a:ln>
          <a:solidFill>
            <a:srgbClr val="980B27"/>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latin typeface="Candara" panose="020E0502030303020204" pitchFamily="34" charset="0"/>
            </a:rPr>
            <a:t>Contenido</a:t>
          </a:r>
          <a:endParaRPr lang="es-CO" sz="1200">
            <a:latin typeface="Candara" panose="020E0502030303020204" pitchFamily="34" charset="0"/>
          </a:endParaRPr>
        </a:p>
      </xdr:txBody>
    </xdr:sp>
    <xdr:clientData/>
  </xdr:twoCellAnchor>
  <xdr:twoCellAnchor>
    <xdr:from>
      <xdr:col>26</xdr:col>
      <xdr:colOff>517071</xdr:colOff>
      <xdr:row>4</xdr:row>
      <xdr:rowOff>163287</xdr:rowOff>
    </xdr:from>
    <xdr:to>
      <xdr:col>33</xdr:col>
      <xdr:colOff>748392</xdr:colOff>
      <xdr:row>27</xdr:row>
      <xdr:rowOff>176893</xdr:rowOff>
    </xdr:to>
    <xdr:graphicFrame macro="">
      <xdr:nvGraphicFramePr>
        <xdr:cNvPr id="12" name="Gráfico 11">
          <a:extLst>
            <a:ext uri="{FF2B5EF4-FFF2-40B4-BE49-F238E27FC236}">
              <a16:creationId xmlns:a16="http://schemas.microsoft.com/office/drawing/2014/main" id="{00000000-0008-0000-0F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26</xdr:col>
      <xdr:colOff>571499</xdr:colOff>
      <xdr:row>38</xdr:row>
      <xdr:rowOff>40820</xdr:rowOff>
    </xdr:from>
    <xdr:to>
      <xdr:col>34</xdr:col>
      <xdr:colOff>81642</xdr:colOff>
      <xdr:row>60</xdr:row>
      <xdr:rowOff>81641</xdr:rowOff>
    </xdr:to>
    <xdr:graphicFrame macro="">
      <xdr:nvGraphicFramePr>
        <xdr:cNvPr id="13" name="Gráfico 12">
          <a:extLst>
            <a:ext uri="{FF2B5EF4-FFF2-40B4-BE49-F238E27FC236}">
              <a16:creationId xmlns:a16="http://schemas.microsoft.com/office/drawing/2014/main" id="{00000000-0008-0000-0F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editAs="oneCell">
    <xdr:from>
      <xdr:col>2</xdr:col>
      <xdr:colOff>272143</xdr:colOff>
      <xdr:row>1</xdr:row>
      <xdr:rowOff>149678</xdr:rowOff>
    </xdr:from>
    <xdr:to>
      <xdr:col>3</xdr:col>
      <xdr:colOff>210911</xdr:colOff>
      <xdr:row>4</xdr:row>
      <xdr:rowOff>59871</xdr:rowOff>
    </xdr:to>
    <xdr:pic>
      <xdr:nvPicPr>
        <xdr:cNvPr id="15" name="Imagen 14">
          <a:extLst>
            <a:ext uri="{FF2B5EF4-FFF2-40B4-BE49-F238E27FC236}">
              <a16:creationId xmlns:a16="http://schemas.microsoft.com/office/drawing/2014/main" id="{00000000-0008-0000-0F00-00000F000000}"/>
            </a:ext>
          </a:extLst>
        </xdr:cNvPr>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823357" y="353785"/>
          <a:ext cx="714375" cy="4953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494971</xdr:colOff>
      <xdr:row>0</xdr:row>
      <xdr:rowOff>160086</xdr:rowOff>
    </xdr:from>
    <xdr:to>
      <xdr:col>4</xdr:col>
      <xdr:colOff>2790265</xdr:colOff>
      <xdr:row>3</xdr:row>
      <xdr:rowOff>324972</xdr:rowOff>
    </xdr:to>
    <xdr:sp macro="" textlink="">
      <xdr:nvSpPr>
        <xdr:cNvPr id="2" name="37 Rectángulo redondeado">
          <a:extLst>
            <a:ext uri="{FF2B5EF4-FFF2-40B4-BE49-F238E27FC236}">
              <a16:creationId xmlns:a16="http://schemas.microsoft.com/office/drawing/2014/main" id="{00000000-0008-0000-0100-000002000000}"/>
            </a:ext>
          </a:extLst>
        </xdr:cNvPr>
        <xdr:cNvSpPr/>
      </xdr:nvSpPr>
      <xdr:spPr>
        <a:xfrm>
          <a:off x="2952421" y="160086"/>
          <a:ext cx="3114444" cy="707811"/>
        </a:xfrm>
        <a:prstGeom prst="roundRect">
          <a:avLst/>
        </a:prstGeom>
        <a:solidFill>
          <a:srgbClr val="ED3338"/>
        </a:solidFill>
        <a:ln w="19050">
          <a:solidFill>
            <a:schemeClr val="tx2">
              <a:lumMod val="50000"/>
            </a:schemeClr>
          </a:solidFill>
        </a:ln>
        <a:effectLst>
          <a:innerShdw blurRad="63500" dist="50800" dir="16200000">
            <a:prstClr val="black">
              <a:alpha val="50000"/>
            </a:prstClr>
          </a:innerShdw>
          <a:softEdge rad="12700"/>
        </a:effectLst>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2000" b="1">
              <a:latin typeface="Candara" panose="020E0502030303020204" pitchFamily="34" charset="0"/>
            </a:rPr>
            <a:t>CONTENIDO</a:t>
          </a:r>
        </a:p>
      </xdr:txBody>
    </xdr:sp>
    <xdr:clientData/>
  </xdr:twoCellAnchor>
  <xdr:twoCellAnchor>
    <xdr:from>
      <xdr:col>2</xdr:col>
      <xdr:colOff>753833</xdr:colOff>
      <xdr:row>5</xdr:row>
      <xdr:rowOff>123265</xdr:rowOff>
    </xdr:from>
    <xdr:to>
      <xdr:col>4</xdr:col>
      <xdr:colOff>1022181</xdr:colOff>
      <xdr:row>10</xdr:row>
      <xdr:rowOff>69637</xdr:rowOff>
    </xdr:to>
    <xdr:sp macro="[0]!Macro1" textlink="">
      <xdr:nvSpPr>
        <xdr:cNvPr id="3" name="38 Rectángulo redondeado">
          <a:extLst>
            <a:ext uri="{FF2B5EF4-FFF2-40B4-BE49-F238E27FC236}">
              <a16:creationId xmlns:a16="http://schemas.microsoft.com/office/drawing/2014/main" id="{00000000-0008-0000-0100-000003000000}"/>
            </a:ext>
          </a:extLst>
        </xdr:cNvPr>
        <xdr:cNvSpPr/>
      </xdr:nvSpPr>
      <xdr:spPr>
        <a:xfrm>
          <a:off x="2392133" y="2113990"/>
          <a:ext cx="1906648" cy="851247"/>
        </a:xfrm>
        <a:prstGeom prst="roundRect">
          <a:avLst/>
        </a:prstGeom>
        <a:solidFill>
          <a:srgbClr val="980B27"/>
        </a:solidFill>
        <a:ln w="19050">
          <a:noFill/>
        </a:ln>
        <a:effectLst>
          <a:innerShdw blurRad="63500" dist="50800" dir="16200000">
            <a:prstClr val="black">
              <a:alpha val="50000"/>
            </a:prstClr>
          </a:innerShdw>
          <a:softEdge rad="12700"/>
        </a:effectLst>
        <a:scene3d>
          <a:camera prst="orthographicFront"/>
          <a:lightRig rig="threePt" dir="t"/>
        </a:scene3d>
        <a:sp3d>
          <a:bevelT/>
        </a:sp3d>
      </xdr:spPr>
      <xdr:style>
        <a:lnRef idx="3">
          <a:schemeClr val="lt1"/>
        </a:lnRef>
        <a:fillRef idx="1">
          <a:schemeClr val="accent1"/>
        </a:fillRef>
        <a:effectRef idx="1">
          <a:schemeClr val="accent1"/>
        </a:effectRef>
        <a:fontRef idx="minor">
          <a:schemeClr val="lt1"/>
        </a:fontRef>
      </xdr:style>
      <xdr:txBody>
        <a:bodyPr vertOverflow="clip" horzOverflow="clip" rtlCol="0" anchor="ctr"/>
        <a:lstStyle/>
        <a:p>
          <a:pPr algn="ctr"/>
          <a:r>
            <a:rPr lang="es-CO" sz="1400">
              <a:solidFill>
                <a:schemeClr val="bg1"/>
              </a:solidFill>
              <a:latin typeface="Candara" panose="020E0502030303020204" pitchFamily="34" charset="0"/>
            </a:rPr>
            <a:t>Riesgo</a:t>
          </a:r>
          <a:r>
            <a:rPr lang="es-CO" sz="1400" baseline="0">
              <a:solidFill>
                <a:schemeClr val="bg1"/>
              </a:solidFill>
              <a:latin typeface="Candara" panose="020E0502030303020204" pitchFamily="34" charset="0"/>
            </a:rPr>
            <a:t> inherente</a:t>
          </a:r>
          <a:endParaRPr lang="es-CO" sz="1400">
            <a:solidFill>
              <a:schemeClr val="bg1"/>
            </a:solidFill>
            <a:latin typeface="Candara" panose="020E0502030303020204" pitchFamily="34" charset="0"/>
          </a:endParaRPr>
        </a:p>
      </xdr:txBody>
    </xdr:sp>
    <xdr:clientData/>
  </xdr:twoCellAnchor>
  <xdr:twoCellAnchor>
    <xdr:from>
      <xdr:col>2</xdr:col>
      <xdr:colOff>768803</xdr:colOff>
      <xdr:row>12</xdr:row>
      <xdr:rowOff>10696</xdr:rowOff>
    </xdr:from>
    <xdr:to>
      <xdr:col>4</xdr:col>
      <xdr:colOff>1037152</xdr:colOff>
      <xdr:row>16</xdr:row>
      <xdr:rowOff>118385</xdr:rowOff>
    </xdr:to>
    <xdr:sp macro="[0]!Macro3" textlink="">
      <xdr:nvSpPr>
        <xdr:cNvPr id="4" name="39 Rectángulo redondeado">
          <a:extLst>
            <a:ext uri="{FF2B5EF4-FFF2-40B4-BE49-F238E27FC236}">
              <a16:creationId xmlns:a16="http://schemas.microsoft.com/office/drawing/2014/main" id="{00000000-0008-0000-0100-000004000000}"/>
            </a:ext>
          </a:extLst>
        </xdr:cNvPr>
        <xdr:cNvSpPr/>
      </xdr:nvSpPr>
      <xdr:spPr>
        <a:xfrm>
          <a:off x="2407103" y="3268246"/>
          <a:ext cx="1906649" cy="831589"/>
        </a:xfrm>
        <a:prstGeom prst="roundRect">
          <a:avLst/>
        </a:prstGeom>
        <a:solidFill>
          <a:srgbClr val="980B27"/>
        </a:solidFill>
        <a:ln w="19050">
          <a:noFill/>
        </a:ln>
        <a:effectLst>
          <a:innerShdw blurRad="63500" dist="50800" dir="16200000">
            <a:prstClr val="black">
              <a:alpha val="50000"/>
            </a:prstClr>
          </a:innerShdw>
          <a:softEdge rad="12700"/>
        </a:effectLst>
        <a:scene3d>
          <a:camera prst="orthographicFront"/>
          <a:lightRig rig="threePt" dir="t"/>
        </a:scene3d>
        <a:sp3d>
          <a:bevelT/>
        </a:sp3d>
      </xdr:spPr>
      <xdr:style>
        <a:lnRef idx="3">
          <a:schemeClr val="lt1"/>
        </a:lnRef>
        <a:fillRef idx="1">
          <a:schemeClr val="accent1"/>
        </a:fillRef>
        <a:effectRef idx="1">
          <a:schemeClr val="accent1"/>
        </a:effectRef>
        <a:fontRef idx="minor">
          <a:schemeClr val="lt1"/>
        </a:fontRef>
      </xdr:style>
      <xdr:txBody>
        <a:bodyPr vertOverflow="clip" horzOverflow="clip" rtlCol="0" anchor="ctr"/>
        <a:lstStyle/>
        <a:p>
          <a:pPr algn="ctr"/>
          <a:r>
            <a:rPr lang="es-CO" sz="1400">
              <a:solidFill>
                <a:schemeClr val="bg1"/>
              </a:solidFill>
              <a:latin typeface="Candara" panose="020E0502030303020204" pitchFamily="34" charset="0"/>
            </a:rPr>
            <a:t>Controles</a:t>
          </a:r>
        </a:p>
      </xdr:txBody>
    </xdr:sp>
    <xdr:clientData/>
  </xdr:twoCellAnchor>
  <xdr:twoCellAnchor>
    <xdr:from>
      <xdr:col>4</xdr:col>
      <xdr:colOff>1426669</xdr:colOff>
      <xdr:row>11</xdr:row>
      <xdr:rowOff>172371</xdr:rowOff>
    </xdr:from>
    <xdr:to>
      <xdr:col>4</xdr:col>
      <xdr:colOff>3327874</xdr:colOff>
      <xdr:row>16</xdr:row>
      <xdr:rowOff>116640</xdr:rowOff>
    </xdr:to>
    <xdr:sp macro="[0]!Macro4" textlink="">
      <xdr:nvSpPr>
        <xdr:cNvPr id="5" name="40 Rectángulo redondeado">
          <a:extLst>
            <a:ext uri="{FF2B5EF4-FFF2-40B4-BE49-F238E27FC236}">
              <a16:creationId xmlns:a16="http://schemas.microsoft.com/office/drawing/2014/main" id="{00000000-0008-0000-0100-000005000000}"/>
            </a:ext>
          </a:extLst>
        </xdr:cNvPr>
        <xdr:cNvSpPr/>
      </xdr:nvSpPr>
      <xdr:spPr>
        <a:xfrm>
          <a:off x="4703269" y="3248946"/>
          <a:ext cx="1901205" cy="849144"/>
        </a:xfrm>
        <a:prstGeom prst="roundRect">
          <a:avLst/>
        </a:prstGeom>
        <a:solidFill>
          <a:srgbClr val="980B27"/>
        </a:solidFill>
        <a:ln w="19050">
          <a:noFill/>
        </a:ln>
        <a:effectLst>
          <a:innerShdw blurRad="63500" dist="50800" dir="16200000">
            <a:prstClr val="black">
              <a:alpha val="50000"/>
            </a:prstClr>
          </a:innerShdw>
          <a:softEdge rad="12700"/>
        </a:effectLst>
        <a:scene3d>
          <a:camera prst="orthographicFront"/>
          <a:lightRig rig="threePt" dir="t"/>
        </a:scene3d>
        <a:sp3d>
          <a:bevelT/>
        </a:sp3d>
      </xdr:spPr>
      <xdr:style>
        <a:lnRef idx="3">
          <a:schemeClr val="lt1"/>
        </a:lnRef>
        <a:fillRef idx="1">
          <a:schemeClr val="accent1"/>
        </a:fillRef>
        <a:effectRef idx="1">
          <a:schemeClr val="accent1"/>
        </a:effectRef>
        <a:fontRef idx="minor">
          <a:schemeClr val="lt1"/>
        </a:fontRef>
      </xdr:style>
      <xdr:txBody>
        <a:bodyPr vertOverflow="clip" horzOverflow="clip" rtlCol="0" anchor="ctr"/>
        <a:lstStyle/>
        <a:p>
          <a:pPr algn="ctr"/>
          <a:r>
            <a:rPr lang="es-CO" sz="1400">
              <a:solidFill>
                <a:schemeClr val="bg1"/>
              </a:solidFill>
              <a:latin typeface="Candara" panose="020E0502030303020204" pitchFamily="34" charset="0"/>
            </a:rPr>
            <a:t>Riesgo</a:t>
          </a:r>
          <a:r>
            <a:rPr lang="es-CO" sz="1400" baseline="0">
              <a:solidFill>
                <a:schemeClr val="bg1"/>
              </a:solidFill>
              <a:latin typeface="Candara" panose="020E0502030303020204" pitchFamily="34" charset="0"/>
            </a:rPr>
            <a:t> residual</a:t>
          </a:r>
          <a:endParaRPr lang="es-CO" sz="1400">
            <a:solidFill>
              <a:schemeClr val="bg1"/>
            </a:solidFill>
            <a:latin typeface="Candara" panose="020E0502030303020204" pitchFamily="34" charset="0"/>
          </a:endParaRPr>
        </a:p>
      </xdr:txBody>
    </xdr:sp>
    <xdr:clientData/>
  </xdr:twoCellAnchor>
  <xdr:twoCellAnchor>
    <xdr:from>
      <xdr:col>4</xdr:col>
      <xdr:colOff>1425069</xdr:colOff>
      <xdr:row>18</xdr:row>
      <xdr:rowOff>130186</xdr:rowOff>
    </xdr:from>
    <xdr:to>
      <xdr:col>4</xdr:col>
      <xdr:colOff>3326274</xdr:colOff>
      <xdr:row>23</xdr:row>
      <xdr:rowOff>74456</xdr:rowOff>
    </xdr:to>
    <xdr:sp macro="[0]!Módulo1.Macro6" textlink="">
      <xdr:nvSpPr>
        <xdr:cNvPr id="6" name="41 Rectángulo redondeado">
          <a:extLst>
            <a:ext uri="{FF2B5EF4-FFF2-40B4-BE49-F238E27FC236}">
              <a16:creationId xmlns:a16="http://schemas.microsoft.com/office/drawing/2014/main" id="{00000000-0008-0000-0100-000006000000}"/>
            </a:ext>
          </a:extLst>
        </xdr:cNvPr>
        <xdr:cNvSpPr/>
      </xdr:nvSpPr>
      <xdr:spPr>
        <a:xfrm>
          <a:off x="4701669" y="4473586"/>
          <a:ext cx="1901205" cy="849145"/>
        </a:xfrm>
        <a:prstGeom prst="roundRect">
          <a:avLst/>
        </a:prstGeom>
        <a:solidFill>
          <a:srgbClr val="980B27"/>
        </a:solidFill>
        <a:ln w="19050">
          <a:noFill/>
        </a:ln>
        <a:effectLst>
          <a:innerShdw blurRad="63500" dist="50800" dir="16200000">
            <a:prstClr val="black">
              <a:alpha val="50000"/>
            </a:prstClr>
          </a:innerShdw>
          <a:softEdge rad="12700"/>
        </a:effectLst>
        <a:scene3d>
          <a:camera prst="orthographicFront"/>
          <a:lightRig rig="threePt" dir="t"/>
        </a:scene3d>
        <a:sp3d>
          <a:bevelT/>
        </a:sp3d>
      </xdr:spPr>
      <xdr:style>
        <a:lnRef idx="3">
          <a:schemeClr val="lt1"/>
        </a:lnRef>
        <a:fillRef idx="1">
          <a:schemeClr val="accent1"/>
        </a:fillRef>
        <a:effectRef idx="1">
          <a:schemeClr val="accent1"/>
        </a:effectRef>
        <a:fontRef idx="minor">
          <a:schemeClr val="lt1"/>
        </a:fontRef>
      </xdr:style>
      <xdr:txBody>
        <a:bodyPr vertOverflow="clip" horzOverflow="clip" rtlCol="0" anchor="ctr"/>
        <a:lstStyle/>
        <a:p>
          <a:pPr algn="ctr"/>
          <a:r>
            <a:rPr lang="es-CO" sz="1400">
              <a:solidFill>
                <a:schemeClr val="bg1"/>
              </a:solidFill>
              <a:latin typeface="Candara" panose="020E0502030303020204" pitchFamily="34" charset="0"/>
            </a:rPr>
            <a:t>Mapa de</a:t>
          </a:r>
          <a:r>
            <a:rPr lang="es-CO" sz="1400" baseline="0">
              <a:solidFill>
                <a:schemeClr val="bg1"/>
              </a:solidFill>
              <a:latin typeface="Candara" panose="020E0502030303020204" pitchFamily="34" charset="0"/>
            </a:rPr>
            <a:t> riesgo</a:t>
          </a:r>
          <a:endParaRPr lang="es-CO" sz="1400">
            <a:solidFill>
              <a:schemeClr val="bg1"/>
            </a:solidFill>
            <a:latin typeface="Candara" panose="020E0502030303020204" pitchFamily="34" charset="0"/>
          </a:endParaRPr>
        </a:p>
      </xdr:txBody>
    </xdr:sp>
    <xdr:clientData/>
  </xdr:twoCellAnchor>
  <xdr:twoCellAnchor>
    <xdr:from>
      <xdr:col>2</xdr:col>
      <xdr:colOff>746511</xdr:colOff>
      <xdr:row>18</xdr:row>
      <xdr:rowOff>145675</xdr:rowOff>
    </xdr:from>
    <xdr:to>
      <xdr:col>4</xdr:col>
      <xdr:colOff>1098176</xdr:colOff>
      <xdr:row>23</xdr:row>
      <xdr:rowOff>76833</xdr:rowOff>
    </xdr:to>
    <xdr:sp macro="[0]!Macro5" textlink="">
      <xdr:nvSpPr>
        <xdr:cNvPr id="7" name="6 Rectángulo redondeado">
          <a:extLst>
            <a:ext uri="{FF2B5EF4-FFF2-40B4-BE49-F238E27FC236}">
              <a16:creationId xmlns:a16="http://schemas.microsoft.com/office/drawing/2014/main" id="{00000000-0008-0000-0100-000007000000}"/>
            </a:ext>
          </a:extLst>
        </xdr:cNvPr>
        <xdr:cNvSpPr/>
      </xdr:nvSpPr>
      <xdr:spPr>
        <a:xfrm>
          <a:off x="2384811" y="4489075"/>
          <a:ext cx="1989965" cy="836033"/>
        </a:xfrm>
        <a:prstGeom prst="roundRect">
          <a:avLst/>
        </a:prstGeom>
        <a:solidFill>
          <a:srgbClr val="980B27"/>
        </a:solidFill>
        <a:ln w="19050">
          <a:noFill/>
        </a:ln>
        <a:effectLst>
          <a:innerShdw blurRad="63500" dist="50800" dir="16200000">
            <a:prstClr val="black">
              <a:alpha val="50000"/>
            </a:prstClr>
          </a:innerShdw>
          <a:softEdge rad="12700"/>
        </a:effectLst>
        <a:scene3d>
          <a:camera prst="orthographicFront"/>
          <a:lightRig rig="threePt" dir="t"/>
        </a:scene3d>
        <a:sp3d>
          <a:bevelT/>
        </a:sp3d>
      </xdr:spPr>
      <xdr:style>
        <a:lnRef idx="3">
          <a:schemeClr val="lt1"/>
        </a:lnRef>
        <a:fillRef idx="1">
          <a:schemeClr val="accent1"/>
        </a:fillRef>
        <a:effectRef idx="1">
          <a:schemeClr val="accent1"/>
        </a:effectRef>
        <a:fontRef idx="minor">
          <a:schemeClr val="lt1"/>
        </a:fontRef>
      </xdr:style>
      <xdr:txBody>
        <a:bodyPr vertOverflow="clip" horzOverflow="clip" rtlCol="0" anchor="ctr"/>
        <a:lstStyle/>
        <a:p>
          <a:pPr algn="ctr"/>
          <a:r>
            <a:rPr lang="es-CO" sz="1400">
              <a:solidFill>
                <a:schemeClr val="bg1"/>
              </a:solidFill>
              <a:latin typeface="Candara" panose="020E0502030303020204" pitchFamily="34" charset="0"/>
            </a:rPr>
            <a:t>RR Consolidado por</a:t>
          </a:r>
          <a:r>
            <a:rPr lang="es-CO" sz="1400" baseline="0">
              <a:solidFill>
                <a:schemeClr val="bg1"/>
              </a:solidFill>
              <a:latin typeface="Candara" panose="020E0502030303020204" pitchFamily="34" charset="0"/>
            </a:rPr>
            <a:t> FR</a:t>
          </a:r>
          <a:endParaRPr lang="es-CO" sz="1400">
            <a:solidFill>
              <a:schemeClr val="bg1"/>
            </a:solidFill>
            <a:latin typeface="Candara" panose="020E0502030303020204" pitchFamily="34" charset="0"/>
          </a:endParaRPr>
        </a:p>
      </xdr:txBody>
    </xdr:sp>
    <xdr:clientData/>
  </xdr:twoCellAnchor>
  <xdr:twoCellAnchor>
    <xdr:from>
      <xdr:col>4</xdr:col>
      <xdr:colOff>1408338</xdr:colOff>
      <xdr:row>5</xdr:row>
      <xdr:rowOff>134831</xdr:rowOff>
    </xdr:from>
    <xdr:to>
      <xdr:col>4</xdr:col>
      <xdr:colOff>3309543</xdr:colOff>
      <xdr:row>10</xdr:row>
      <xdr:rowOff>79100</xdr:rowOff>
    </xdr:to>
    <xdr:sp macro="[0]!Macro2" textlink="">
      <xdr:nvSpPr>
        <xdr:cNvPr id="8" name="7 Rectángulo redondeado">
          <a:extLst>
            <a:ext uri="{FF2B5EF4-FFF2-40B4-BE49-F238E27FC236}">
              <a16:creationId xmlns:a16="http://schemas.microsoft.com/office/drawing/2014/main" id="{00000000-0008-0000-0100-000008000000}"/>
            </a:ext>
          </a:extLst>
        </xdr:cNvPr>
        <xdr:cNvSpPr/>
      </xdr:nvSpPr>
      <xdr:spPr>
        <a:xfrm>
          <a:off x="4684938" y="2125556"/>
          <a:ext cx="1901205" cy="849144"/>
        </a:xfrm>
        <a:prstGeom prst="roundRect">
          <a:avLst/>
        </a:prstGeom>
        <a:solidFill>
          <a:srgbClr val="980B27"/>
        </a:solidFill>
        <a:ln w="19050">
          <a:noFill/>
        </a:ln>
        <a:effectLst>
          <a:innerShdw blurRad="63500" dist="50800" dir="16200000">
            <a:prstClr val="black">
              <a:alpha val="50000"/>
            </a:prstClr>
          </a:innerShdw>
          <a:softEdge rad="12700"/>
        </a:effectLst>
        <a:scene3d>
          <a:camera prst="orthographicFront"/>
          <a:lightRig rig="threePt" dir="t"/>
        </a:scene3d>
        <a:sp3d>
          <a:bevelT/>
        </a:sp3d>
      </xdr:spPr>
      <xdr:style>
        <a:lnRef idx="3">
          <a:schemeClr val="lt1"/>
        </a:lnRef>
        <a:fillRef idx="1">
          <a:schemeClr val="accent1"/>
        </a:fillRef>
        <a:effectRef idx="1">
          <a:schemeClr val="accent1"/>
        </a:effectRef>
        <a:fontRef idx="minor">
          <a:schemeClr val="lt1"/>
        </a:fontRef>
      </xdr:style>
      <xdr:txBody>
        <a:bodyPr vertOverflow="clip" horzOverflow="clip" rtlCol="0" anchor="ctr"/>
        <a:lstStyle/>
        <a:p>
          <a:pPr algn="ctr"/>
          <a:r>
            <a:rPr lang="es-CO" sz="1400">
              <a:solidFill>
                <a:schemeClr val="bg1"/>
              </a:solidFill>
              <a:latin typeface="Candara" panose="020E0502030303020204" pitchFamily="34" charset="0"/>
            </a:rPr>
            <a:t>RI Consolidado por</a:t>
          </a:r>
          <a:r>
            <a:rPr lang="es-CO" sz="1400" baseline="0">
              <a:solidFill>
                <a:schemeClr val="bg1"/>
              </a:solidFill>
              <a:latin typeface="Candara" panose="020E0502030303020204" pitchFamily="34" charset="0"/>
            </a:rPr>
            <a:t> FR</a:t>
          </a:r>
          <a:endParaRPr lang="es-CO" sz="1400">
            <a:solidFill>
              <a:schemeClr val="bg1"/>
            </a:solidFill>
            <a:latin typeface="Candara" panose="020E0502030303020204" pitchFamily="34" charset="0"/>
          </a:endParaRPr>
        </a:p>
      </xdr:txBody>
    </xdr:sp>
    <xdr:clientData/>
  </xdr:twoCellAnchor>
  <xdr:twoCellAnchor>
    <xdr:from>
      <xdr:col>4</xdr:col>
      <xdr:colOff>1381126</xdr:colOff>
      <xdr:row>3</xdr:row>
      <xdr:rowOff>459200</xdr:rowOff>
    </xdr:from>
    <xdr:to>
      <xdr:col>4</xdr:col>
      <xdr:colOff>3282332</xdr:colOff>
      <xdr:row>3</xdr:row>
      <xdr:rowOff>1264354</xdr:rowOff>
    </xdr:to>
    <xdr:sp macro="[0]!Macro1" textlink="">
      <xdr:nvSpPr>
        <xdr:cNvPr id="9" name="38 Rectángulo redondeado">
          <a:hlinkClick xmlns:r="http://schemas.openxmlformats.org/officeDocument/2006/relationships" r:id="rId1"/>
          <a:extLst>
            <a:ext uri="{FF2B5EF4-FFF2-40B4-BE49-F238E27FC236}">
              <a16:creationId xmlns:a16="http://schemas.microsoft.com/office/drawing/2014/main" id="{00000000-0008-0000-0100-000009000000}"/>
            </a:ext>
          </a:extLst>
        </xdr:cNvPr>
        <xdr:cNvSpPr/>
      </xdr:nvSpPr>
      <xdr:spPr>
        <a:xfrm>
          <a:off x="4657726" y="1002125"/>
          <a:ext cx="1901206" cy="805154"/>
        </a:xfrm>
        <a:prstGeom prst="roundRect">
          <a:avLst/>
        </a:prstGeom>
        <a:solidFill>
          <a:srgbClr val="980B27"/>
        </a:solidFill>
        <a:ln w="19050">
          <a:noFill/>
        </a:ln>
        <a:effectLst>
          <a:innerShdw blurRad="63500" dist="50800" dir="16200000">
            <a:prstClr val="black">
              <a:alpha val="50000"/>
            </a:prstClr>
          </a:innerShdw>
          <a:softEdge rad="12700"/>
        </a:effectLst>
        <a:scene3d>
          <a:camera prst="orthographicFront"/>
          <a:lightRig rig="threePt" dir="t"/>
        </a:scene3d>
        <a:sp3d>
          <a:bevelT/>
        </a:sp3d>
      </xdr:spPr>
      <xdr:style>
        <a:lnRef idx="3">
          <a:schemeClr val="lt1"/>
        </a:lnRef>
        <a:fillRef idx="1">
          <a:schemeClr val="accent1"/>
        </a:fillRef>
        <a:effectRef idx="1">
          <a:schemeClr val="accent1"/>
        </a:effectRef>
        <a:fontRef idx="minor">
          <a:schemeClr val="lt1"/>
        </a:fontRef>
      </xdr:style>
      <xdr:txBody>
        <a:bodyPr vertOverflow="clip" horzOverflow="clip" rtlCol="0" anchor="ctr"/>
        <a:lstStyle/>
        <a:p>
          <a:pPr algn="ctr"/>
          <a:r>
            <a:rPr lang="es-CO" sz="1400">
              <a:solidFill>
                <a:schemeClr val="bg1"/>
              </a:solidFill>
              <a:latin typeface="Candara" panose="020E0502030303020204" pitchFamily="34" charset="0"/>
            </a:rPr>
            <a:t>Puntuaciones</a:t>
          </a:r>
        </a:p>
      </xdr:txBody>
    </xdr:sp>
    <xdr:clientData/>
  </xdr:twoCellAnchor>
  <xdr:twoCellAnchor>
    <xdr:from>
      <xdr:col>2</xdr:col>
      <xdr:colOff>738868</xdr:colOff>
      <xdr:row>3</xdr:row>
      <xdr:rowOff>450396</xdr:rowOff>
    </xdr:from>
    <xdr:to>
      <xdr:col>4</xdr:col>
      <xdr:colOff>1007217</xdr:colOff>
      <xdr:row>3</xdr:row>
      <xdr:rowOff>1255550</xdr:rowOff>
    </xdr:to>
    <xdr:sp macro="[0]!Macro1" textlink="">
      <xdr:nvSpPr>
        <xdr:cNvPr id="10" name="38 Rectángulo redondeado">
          <a:hlinkClick xmlns:r="http://schemas.openxmlformats.org/officeDocument/2006/relationships" r:id="rId2"/>
          <a:extLst>
            <a:ext uri="{FF2B5EF4-FFF2-40B4-BE49-F238E27FC236}">
              <a16:creationId xmlns:a16="http://schemas.microsoft.com/office/drawing/2014/main" id="{00000000-0008-0000-0100-00000A000000}"/>
            </a:ext>
          </a:extLst>
        </xdr:cNvPr>
        <xdr:cNvSpPr/>
      </xdr:nvSpPr>
      <xdr:spPr>
        <a:xfrm>
          <a:off x="2377168" y="993321"/>
          <a:ext cx="1906649" cy="805154"/>
        </a:xfrm>
        <a:prstGeom prst="roundRect">
          <a:avLst/>
        </a:prstGeom>
        <a:solidFill>
          <a:srgbClr val="980B27"/>
        </a:solidFill>
        <a:ln w="19050">
          <a:noFill/>
        </a:ln>
        <a:effectLst>
          <a:innerShdw blurRad="63500" dist="50800" dir="16200000">
            <a:prstClr val="black">
              <a:alpha val="50000"/>
            </a:prstClr>
          </a:innerShdw>
          <a:softEdge rad="12700"/>
        </a:effectLst>
        <a:scene3d>
          <a:camera prst="orthographicFront"/>
          <a:lightRig rig="threePt" dir="t"/>
        </a:scene3d>
        <a:sp3d>
          <a:bevelT/>
        </a:sp3d>
      </xdr:spPr>
      <xdr:style>
        <a:lnRef idx="3">
          <a:schemeClr val="lt1"/>
        </a:lnRef>
        <a:fillRef idx="1">
          <a:schemeClr val="accent1"/>
        </a:fillRef>
        <a:effectRef idx="1">
          <a:schemeClr val="accent1"/>
        </a:effectRef>
        <a:fontRef idx="minor">
          <a:schemeClr val="lt1"/>
        </a:fontRef>
      </xdr:style>
      <xdr:txBody>
        <a:bodyPr vertOverflow="clip" horzOverflow="clip" rtlCol="0" anchor="ctr"/>
        <a:lstStyle/>
        <a:p>
          <a:pPr algn="ctr"/>
          <a:r>
            <a:rPr lang="es-CO" sz="1400">
              <a:solidFill>
                <a:schemeClr val="bg1"/>
              </a:solidFill>
              <a:latin typeface="Candara" panose="020E0502030303020204" pitchFamily="34" charset="0"/>
            </a:rPr>
            <a:t>Tablas</a:t>
          </a:r>
        </a:p>
      </xdr:txBody>
    </xdr:sp>
    <xdr:clientData/>
  </xdr:twoCellAnchor>
  <xdr:twoCellAnchor editAs="oneCell">
    <xdr:from>
      <xdr:col>4</xdr:col>
      <xdr:colOff>4531179</xdr:colOff>
      <xdr:row>0</xdr:row>
      <xdr:rowOff>0</xdr:rowOff>
    </xdr:from>
    <xdr:to>
      <xdr:col>4</xdr:col>
      <xdr:colOff>6674757</xdr:colOff>
      <xdr:row>3</xdr:row>
      <xdr:rowOff>1194163</xdr:rowOff>
    </xdr:to>
    <xdr:pic>
      <xdr:nvPicPr>
        <xdr:cNvPr id="11" name="Imagen 10">
          <a:extLst>
            <a:ext uri="{FF2B5EF4-FFF2-40B4-BE49-F238E27FC236}">
              <a16:creationId xmlns:a16="http://schemas.microsoft.com/office/drawing/2014/main" id="{00000000-0008-0000-0100-00000B000000}"/>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7807779" y="0"/>
          <a:ext cx="2143578" cy="173708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161925</xdr:colOff>
      <xdr:row>0</xdr:row>
      <xdr:rowOff>142875</xdr:rowOff>
    </xdr:from>
    <xdr:to>
      <xdr:col>1</xdr:col>
      <xdr:colOff>1323974</xdr:colOff>
      <xdr:row>0</xdr:row>
      <xdr:rowOff>457200</xdr:rowOff>
    </xdr:to>
    <xdr:sp macro="[0]!Macro7" textlink="">
      <xdr:nvSpPr>
        <xdr:cNvPr id="2" name="1 Pentágono">
          <a:extLst>
            <a:ext uri="{FF2B5EF4-FFF2-40B4-BE49-F238E27FC236}">
              <a16:creationId xmlns:a16="http://schemas.microsoft.com/office/drawing/2014/main" id="{00000000-0008-0000-0200-000002000000}"/>
            </a:ext>
          </a:extLst>
        </xdr:cNvPr>
        <xdr:cNvSpPr/>
      </xdr:nvSpPr>
      <xdr:spPr>
        <a:xfrm flipH="1">
          <a:off x="161925" y="142875"/>
          <a:ext cx="1381124" cy="314325"/>
        </a:xfrm>
        <a:prstGeom prst="homePlate">
          <a:avLst/>
        </a:prstGeom>
        <a:solidFill>
          <a:srgbClr val="980B27"/>
        </a:solidFill>
        <a:ln>
          <a:solidFill>
            <a:srgbClr val="980B27"/>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latin typeface="Candara" panose="020E0502030303020204" pitchFamily="34" charset="0"/>
            </a:rPr>
            <a:t>Contenido</a:t>
          </a:r>
          <a:endParaRPr lang="es-CO" sz="1200">
            <a:latin typeface="Candara" panose="020E0502030303020204" pitchFamily="34" charset="0"/>
          </a:endParaRPr>
        </a:p>
      </xdr:txBody>
    </xdr:sp>
    <xdr:clientData/>
  </xdr:twoCellAnchor>
  <xdr:twoCellAnchor editAs="oneCell">
    <xdr:from>
      <xdr:col>1</xdr:col>
      <xdr:colOff>1314450</xdr:colOff>
      <xdr:row>0</xdr:row>
      <xdr:rowOff>19050</xdr:rowOff>
    </xdr:from>
    <xdr:to>
      <xdr:col>1</xdr:col>
      <xdr:colOff>2200275</xdr:colOff>
      <xdr:row>0</xdr:row>
      <xdr:rowOff>685799</xdr:rowOff>
    </xdr:to>
    <xdr:pic>
      <xdr:nvPicPr>
        <xdr:cNvPr id="3" name="Imagen 2">
          <a:extLst>
            <a:ext uri="{FF2B5EF4-FFF2-40B4-BE49-F238E27FC236}">
              <a16:creationId xmlns:a16="http://schemas.microsoft.com/office/drawing/2014/main" id="{00000000-0008-0000-02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33525" y="19050"/>
          <a:ext cx="885825" cy="66674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100853</xdr:colOff>
      <xdr:row>0</xdr:row>
      <xdr:rowOff>78441</xdr:rowOff>
    </xdr:from>
    <xdr:to>
      <xdr:col>2</xdr:col>
      <xdr:colOff>484653</xdr:colOff>
      <xdr:row>0</xdr:row>
      <xdr:rowOff>392766</xdr:rowOff>
    </xdr:to>
    <xdr:sp macro="[0]!Macro7" textlink="">
      <xdr:nvSpPr>
        <xdr:cNvPr id="3" name="1 Pentágono">
          <a:extLst>
            <a:ext uri="{FF2B5EF4-FFF2-40B4-BE49-F238E27FC236}">
              <a16:creationId xmlns:a16="http://schemas.microsoft.com/office/drawing/2014/main" id="{00000000-0008-0000-0300-000003000000}"/>
            </a:ext>
          </a:extLst>
        </xdr:cNvPr>
        <xdr:cNvSpPr/>
      </xdr:nvSpPr>
      <xdr:spPr>
        <a:xfrm flipH="1">
          <a:off x="100853" y="78441"/>
          <a:ext cx="1381124" cy="314325"/>
        </a:xfrm>
        <a:prstGeom prst="homePlate">
          <a:avLst/>
        </a:prstGeom>
        <a:solidFill>
          <a:srgbClr val="980B27"/>
        </a:solidFill>
        <a:ln>
          <a:solidFill>
            <a:srgbClr val="980B27"/>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latin typeface="Candara" panose="020E0502030303020204" pitchFamily="34" charset="0"/>
            </a:rPr>
            <a:t>Contenido</a:t>
          </a:r>
          <a:endParaRPr lang="es-CO" sz="1200">
            <a:latin typeface="Candara" panose="020E0502030303020204" pitchFamily="34" charset="0"/>
          </a:endParaRPr>
        </a:p>
      </xdr:txBody>
    </xdr:sp>
    <xdr:clientData/>
  </xdr:twoCellAnchor>
  <xdr:twoCellAnchor editAs="oneCell">
    <xdr:from>
      <xdr:col>2</xdr:col>
      <xdr:colOff>523875</xdr:colOff>
      <xdr:row>0</xdr:row>
      <xdr:rowOff>0</xdr:rowOff>
    </xdr:from>
    <xdr:to>
      <xdr:col>3</xdr:col>
      <xdr:colOff>266700</xdr:colOff>
      <xdr:row>1</xdr:row>
      <xdr:rowOff>161925</xdr:rowOff>
    </xdr:to>
    <xdr:pic>
      <xdr:nvPicPr>
        <xdr:cNvPr id="4" name="Imagen 3">
          <a:extLst>
            <a:ext uri="{FF2B5EF4-FFF2-40B4-BE49-F238E27FC236}">
              <a16:creationId xmlns:a16="http://schemas.microsoft.com/office/drawing/2014/main" id="{00000000-0008-0000-03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14475" y="0"/>
          <a:ext cx="847725" cy="67627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152400</xdr:colOff>
      <xdr:row>0</xdr:row>
      <xdr:rowOff>95250</xdr:rowOff>
    </xdr:from>
    <xdr:to>
      <xdr:col>2</xdr:col>
      <xdr:colOff>1266824</xdr:colOff>
      <xdr:row>1</xdr:row>
      <xdr:rowOff>247650</xdr:rowOff>
    </xdr:to>
    <xdr:sp macro="[0]!Macro7" textlink="">
      <xdr:nvSpPr>
        <xdr:cNvPr id="5" name="1 Pentágono">
          <a:extLst>
            <a:ext uri="{FF2B5EF4-FFF2-40B4-BE49-F238E27FC236}">
              <a16:creationId xmlns:a16="http://schemas.microsoft.com/office/drawing/2014/main" id="{00000000-0008-0000-0900-000005000000}"/>
            </a:ext>
          </a:extLst>
        </xdr:cNvPr>
        <xdr:cNvSpPr/>
      </xdr:nvSpPr>
      <xdr:spPr>
        <a:xfrm flipH="1">
          <a:off x="152400" y="95250"/>
          <a:ext cx="1381124" cy="314325"/>
        </a:xfrm>
        <a:prstGeom prst="homePlate">
          <a:avLst/>
        </a:prstGeom>
        <a:solidFill>
          <a:srgbClr val="980B27"/>
        </a:solidFill>
        <a:ln>
          <a:solidFill>
            <a:srgbClr val="980B27"/>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latin typeface="Candara" panose="020E0502030303020204" pitchFamily="34" charset="0"/>
            </a:rPr>
            <a:t>Contenido</a:t>
          </a:r>
          <a:endParaRPr lang="es-CO" sz="1200">
            <a:latin typeface="Candara" panose="020E0502030303020204" pitchFamily="34" charset="0"/>
          </a:endParaRPr>
        </a:p>
      </xdr:txBody>
    </xdr:sp>
    <xdr:clientData/>
  </xdr:twoCellAnchor>
  <xdr:twoCellAnchor editAs="oneCell">
    <xdr:from>
      <xdr:col>27</xdr:col>
      <xdr:colOff>462643</xdr:colOff>
      <xdr:row>0</xdr:row>
      <xdr:rowOff>0</xdr:rowOff>
    </xdr:from>
    <xdr:to>
      <xdr:col>29</xdr:col>
      <xdr:colOff>68036</xdr:colOff>
      <xdr:row>1</xdr:row>
      <xdr:rowOff>734785</xdr:rowOff>
    </xdr:to>
    <xdr:pic>
      <xdr:nvPicPr>
        <xdr:cNvPr id="3" name="Imagen 2">
          <a:extLst>
            <a:ext uri="{FF2B5EF4-FFF2-40B4-BE49-F238E27FC236}">
              <a16:creationId xmlns:a16="http://schemas.microsoft.com/office/drawing/2014/main" id="{00000000-0008-0000-09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505964" y="0"/>
          <a:ext cx="1224643" cy="89807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152400</xdr:colOff>
      <xdr:row>0</xdr:row>
      <xdr:rowOff>0</xdr:rowOff>
    </xdr:from>
    <xdr:to>
      <xdr:col>2</xdr:col>
      <xdr:colOff>1266824</xdr:colOff>
      <xdr:row>0</xdr:row>
      <xdr:rowOff>0</xdr:rowOff>
    </xdr:to>
    <xdr:sp macro="[0]!Macro7" textlink="">
      <xdr:nvSpPr>
        <xdr:cNvPr id="2" name="1 Pentágono">
          <a:extLst>
            <a:ext uri="{FF2B5EF4-FFF2-40B4-BE49-F238E27FC236}">
              <a16:creationId xmlns:a16="http://schemas.microsoft.com/office/drawing/2014/main" id="{00000000-0008-0000-0A00-000002000000}"/>
            </a:ext>
          </a:extLst>
        </xdr:cNvPr>
        <xdr:cNvSpPr/>
      </xdr:nvSpPr>
      <xdr:spPr>
        <a:xfrm flipH="1">
          <a:off x="152400" y="95250"/>
          <a:ext cx="2200274" cy="314325"/>
        </a:xfrm>
        <a:prstGeom prst="homePlate">
          <a:avLst/>
        </a:prstGeom>
        <a:solidFill>
          <a:srgbClr val="980B27"/>
        </a:solidFill>
        <a:ln>
          <a:solidFill>
            <a:srgbClr val="980B27"/>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latin typeface="Candara" panose="020E0502030303020204" pitchFamily="34" charset="0"/>
            </a:rPr>
            <a:t>Contenido</a:t>
          </a:r>
          <a:endParaRPr lang="es-CO" sz="1200">
            <a:latin typeface="Candara" panose="020E0502030303020204" pitchFamily="34" charset="0"/>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209550</xdr:colOff>
      <xdr:row>0</xdr:row>
      <xdr:rowOff>152400</xdr:rowOff>
    </xdr:from>
    <xdr:to>
      <xdr:col>1</xdr:col>
      <xdr:colOff>819149</xdr:colOff>
      <xdr:row>2</xdr:row>
      <xdr:rowOff>85725</xdr:rowOff>
    </xdr:to>
    <xdr:sp macro="[0]!Macro7" textlink="">
      <xdr:nvSpPr>
        <xdr:cNvPr id="3" name="1 Pentágono">
          <a:extLst>
            <a:ext uri="{FF2B5EF4-FFF2-40B4-BE49-F238E27FC236}">
              <a16:creationId xmlns:a16="http://schemas.microsoft.com/office/drawing/2014/main" id="{00000000-0008-0000-0B00-000003000000}"/>
            </a:ext>
          </a:extLst>
        </xdr:cNvPr>
        <xdr:cNvSpPr/>
      </xdr:nvSpPr>
      <xdr:spPr>
        <a:xfrm flipH="1">
          <a:off x="209550" y="152400"/>
          <a:ext cx="1381124" cy="314325"/>
        </a:xfrm>
        <a:prstGeom prst="homePlate">
          <a:avLst/>
        </a:prstGeom>
        <a:solidFill>
          <a:srgbClr val="980B27"/>
        </a:solidFill>
        <a:ln>
          <a:solidFill>
            <a:srgbClr val="980B27"/>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latin typeface="Candara" panose="020E0502030303020204" pitchFamily="34" charset="0"/>
            </a:rPr>
            <a:t>Contenido</a:t>
          </a:r>
          <a:endParaRPr lang="es-CO" sz="1200">
            <a:latin typeface="Candara" panose="020E0502030303020204" pitchFamily="34" charset="0"/>
          </a:endParaRPr>
        </a:p>
      </xdr:txBody>
    </xdr:sp>
    <xdr:clientData/>
  </xdr:twoCellAnchor>
  <xdr:twoCellAnchor editAs="oneCell">
    <xdr:from>
      <xdr:col>1</xdr:col>
      <xdr:colOff>838200</xdr:colOff>
      <xdr:row>0</xdr:row>
      <xdr:rowOff>19050</xdr:rowOff>
    </xdr:from>
    <xdr:to>
      <xdr:col>1</xdr:col>
      <xdr:colOff>1647825</xdr:colOff>
      <xdr:row>3</xdr:row>
      <xdr:rowOff>76200</xdr:rowOff>
    </xdr:to>
    <xdr:pic>
      <xdr:nvPicPr>
        <xdr:cNvPr id="6" name="Imagen 5">
          <a:extLst>
            <a:ext uri="{FF2B5EF4-FFF2-40B4-BE49-F238E27FC236}">
              <a16:creationId xmlns:a16="http://schemas.microsoft.com/office/drawing/2014/main" id="{00000000-0008-0000-0B00-000006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09725" y="19050"/>
          <a:ext cx="809625" cy="62865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180975</xdr:colOff>
      <xdr:row>0</xdr:row>
      <xdr:rowOff>76200</xdr:rowOff>
    </xdr:from>
    <xdr:to>
      <xdr:col>2</xdr:col>
      <xdr:colOff>276224</xdr:colOff>
      <xdr:row>2</xdr:row>
      <xdr:rowOff>66675</xdr:rowOff>
    </xdr:to>
    <xdr:sp macro="[0]!Macro7" textlink="">
      <xdr:nvSpPr>
        <xdr:cNvPr id="3" name="1 Pentágono">
          <a:extLst>
            <a:ext uri="{FF2B5EF4-FFF2-40B4-BE49-F238E27FC236}">
              <a16:creationId xmlns:a16="http://schemas.microsoft.com/office/drawing/2014/main" id="{00000000-0008-0000-0C00-000003000000}"/>
            </a:ext>
          </a:extLst>
        </xdr:cNvPr>
        <xdr:cNvSpPr/>
      </xdr:nvSpPr>
      <xdr:spPr>
        <a:xfrm flipH="1">
          <a:off x="180975" y="76200"/>
          <a:ext cx="1381124" cy="314325"/>
        </a:xfrm>
        <a:prstGeom prst="homePlate">
          <a:avLst/>
        </a:prstGeom>
        <a:solidFill>
          <a:srgbClr val="980B27"/>
        </a:solidFill>
        <a:ln>
          <a:solidFill>
            <a:srgbClr val="980B27"/>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latin typeface="Candara" panose="020E0502030303020204" pitchFamily="34" charset="0"/>
            </a:rPr>
            <a:t>Contenido</a:t>
          </a:r>
          <a:endParaRPr lang="es-CO" sz="1200">
            <a:latin typeface="Candara" panose="020E0502030303020204" pitchFamily="34" charset="0"/>
          </a:endParaRPr>
        </a:p>
      </xdr:txBody>
    </xdr:sp>
    <xdr:clientData/>
  </xdr:twoCellAnchor>
  <xdr:twoCellAnchor editAs="oneCell">
    <xdr:from>
      <xdr:col>2</xdr:col>
      <xdr:colOff>281608</xdr:colOff>
      <xdr:row>0</xdr:row>
      <xdr:rowOff>0</xdr:rowOff>
    </xdr:from>
    <xdr:to>
      <xdr:col>2</xdr:col>
      <xdr:colOff>1051892</xdr:colOff>
      <xdr:row>4</xdr:row>
      <xdr:rowOff>16565</xdr:rowOff>
    </xdr:to>
    <xdr:pic>
      <xdr:nvPicPr>
        <xdr:cNvPr id="4" name="Imagen 3">
          <a:extLst>
            <a:ext uri="{FF2B5EF4-FFF2-40B4-BE49-F238E27FC236}">
              <a16:creationId xmlns:a16="http://schemas.microsoft.com/office/drawing/2014/main" id="{00000000-0008-0000-0C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65412" y="0"/>
          <a:ext cx="770284" cy="579782"/>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1</xdr:col>
      <xdr:colOff>1120</xdr:colOff>
      <xdr:row>0</xdr:row>
      <xdr:rowOff>145677</xdr:rowOff>
    </xdr:from>
    <xdr:to>
      <xdr:col>2</xdr:col>
      <xdr:colOff>403410</xdr:colOff>
      <xdr:row>2</xdr:row>
      <xdr:rowOff>79002</xdr:rowOff>
    </xdr:to>
    <xdr:sp macro="[0]!Macro7" textlink="">
      <xdr:nvSpPr>
        <xdr:cNvPr id="5" name="1 Pentágono">
          <a:extLst>
            <a:ext uri="{FF2B5EF4-FFF2-40B4-BE49-F238E27FC236}">
              <a16:creationId xmlns:a16="http://schemas.microsoft.com/office/drawing/2014/main" id="{00000000-0008-0000-0D00-000005000000}"/>
            </a:ext>
          </a:extLst>
        </xdr:cNvPr>
        <xdr:cNvSpPr/>
      </xdr:nvSpPr>
      <xdr:spPr>
        <a:xfrm flipH="1">
          <a:off x="146796" y="145677"/>
          <a:ext cx="1153085" cy="314325"/>
        </a:xfrm>
        <a:prstGeom prst="homePlate">
          <a:avLst/>
        </a:prstGeom>
        <a:solidFill>
          <a:srgbClr val="980B27"/>
        </a:solidFill>
        <a:ln>
          <a:solidFill>
            <a:srgbClr val="980B27"/>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latin typeface="Candara" panose="020E0502030303020204" pitchFamily="34" charset="0"/>
            </a:rPr>
            <a:t>Contenido</a:t>
          </a:r>
          <a:endParaRPr lang="es-CO" sz="1200">
            <a:latin typeface="Candara" panose="020E0502030303020204" pitchFamily="34" charset="0"/>
          </a:endParaRPr>
        </a:p>
      </xdr:txBody>
    </xdr:sp>
    <xdr:clientData/>
  </xdr:twoCellAnchor>
  <xdr:twoCellAnchor editAs="oneCell">
    <xdr:from>
      <xdr:col>2</xdr:col>
      <xdr:colOff>403411</xdr:colOff>
      <xdr:row>0</xdr:row>
      <xdr:rowOff>0</xdr:rowOff>
    </xdr:from>
    <xdr:to>
      <xdr:col>3</xdr:col>
      <xdr:colOff>224117</xdr:colOff>
      <xdr:row>3</xdr:row>
      <xdr:rowOff>89647</xdr:rowOff>
    </xdr:to>
    <xdr:pic>
      <xdr:nvPicPr>
        <xdr:cNvPr id="3" name="Imagen 2">
          <a:extLst>
            <a:ext uri="{FF2B5EF4-FFF2-40B4-BE49-F238E27FC236}">
              <a16:creationId xmlns:a16="http://schemas.microsoft.com/office/drawing/2014/main" id="{00000000-0008-0000-0D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99882" y="0"/>
          <a:ext cx="1064559" cy="762000"/>
        </a:xfrm>
        <a:prstGeom prst="rect">
          <a:avLst/>
        </a:prstGeom>
      </xdr:spPr>
    </xdr:pic>
    <xdr:clientData/>
  </xdr:twoCellAnchor>
</xdr:wsDr>
</file>

<file path=xl/tables/table1.xml><?xml version="1.0" encoding="utf-8"?>
<table xmlns="http://schemas.openxmlformats.org/spreadsheetml/2006/main" id="1" name="Tabla1" displayName="Tabla1" ref="B2:C21" headerRowDxfId="239" dataDxfId="238" headerRowCellStyle="Normal" dataCellStyle="Normal" totalsRowCellStyle="Normal">
  <autoFilter ref="B2:C21"/>
  <tableColumns count="2">
    <tableColumn id="1" name="Procesos/Áreas de Práctica" dataDxfId="237" totalsRowDxfId="236" dataCellStyle="Normal"/>
    <tableColumn id="3" name="Código proceso" totalsRowFunction="custom" dataDxfId="235" totalsRowDxfId="234" dataCellStyle="Normal">
      <totalsRowFormula>" "</totalsRowFormula>
    </tableColumn>
  </tableColumns>
  <tableStyleInfo name="BM" showFirstColumn="0" showLastColumn="0" showRowStripes="1" showColumnStripes="0"/>
</table>
</file>

<file path=xl/tables/table10.xml><?xml version="1.0" encoding="utf-8"?>
<table xmlns="http://schemas.openxmlformats.org/spreadsheetml/2006/main" id="17" name="Tabla17" displayName="Tabla17" ref="A1:H6" totalsRowShown="0">
  <autoFilter ref="A1:H6"/>
  <tableColumns count="8">
    <tableColumn id="1" name="Procesos/Áreas de práctica"/>
    <tableColumn id="2" name="Subproceso"/>
    <tableColumn id="3" name="No. Riesgo"/>
    <tableColumn id="4" name="Código evento"/>
    <tableColumn id="5" name="Factor de riesgo"/>
    <tableColumn id="6" name="Código proceso"/>
    <tableColumn id="7" name="Código riesgo"/>
    <tableColumn id="8" name="Evento de riesgo"/>
  </tableColumns>
  <tableStyleInfo name="TableStyleMedium2" showFirstColumn="0" showLastColumn="0" showRowStripes="1" showColumnStripes="0"/>
</table>
</file>

<file path=xl/tables/table11.xml><?xml version="1.0" encoding="utf-8"?>
<table xmlns="http://schemas.openxmlformats.org/spreadsheetml/2006/main" id="18" name="Tabla18" displayName="Tabla18" ref="A1:H3" totalsRowShown="0">
  <autoFilter ref="A1:H3"/>
  <tableColumns count="8">
    <tableColumn id="1" name="Procesos/Áreas de práctica"/>
    <tableColumn id="2" name="Subproceso"/>
    <tableColumn id="3" name="No. Riesgo"/>
    <tableColumn id="4" name="Código evento"/>
    <tableColumn id="5" name="Factor de riesgo"/>
    <tableColumn id="6" name="Código proceso"/>
    <tableColumn id="7" name="Código riesgo"/>
    <tableColumn id="8" name="Evento de riesgo"/>
  </tableColumns>
  <tableStyleInfo name="TableStyleMedium2" showFirstColumn="0" showLastColumn="0" showRowStripes="1" showColumnStripes="0"/>
</table>
</file>

<file path=xl/tables/table12.xml><?xml version="1.0" encoding="utf-8"?>
<table xmlns="http://schemas.openxmlformats.org/spreadsheetml/2006/main" id="19" name="Tabla19" displayName="Tabla19" ref="A1:H2" totalsRowShown="0">
  <autoFilter ref="A1:H2"/>
  <tableColumns count="8">
    <tableColumn id="1" name="Procesos/Áreas de práctica"/>
    <tableColumn id="2" name="Subproceso"/>
    <tableColumn id="3" name="No. Riesgo"/>
    <tableColumn id="4" name="Código evento"/>
    <tableColumn id="5" name="Factor de riesgo"/>
    <tableColumn id="6" name="Código proceso"/>
    <tableColumn id="7" name="Código riesgo"/>
    <tableColumn id="8" name="Evento de riesgo"/>
  </tableColumns>
  <tableStyleInfo name="TableStyleMedium2" showFirstColumn="0" showLastColumn="0" showRowStripes="1" showColumnStripes="0"/>
</table>
</file>

<file path=xl/tables/table13.xml><?xml version="1.0" encoding="utf-8"?>
<table xmlns="http://schemas.openxmlformats.org/spreadsheetml/2006/main" id="11" name="Tableau11" displayName="Tableau11" ref="B5:F10" totalsRowShown="0" headerRowDxfId="72" dataDxfId="70" headerRowBorderDxfId="71" tableBorderDxfId="69" headerRowCellStyle="Normal">
  <tableColumns count="5">
    <tableColumn id="1" name="FACTOR DE RIESGO" dataDxfId="68" dataCellStyle="Normal"/>
    <tableColumn id="2" name="PROBABILIDAD" dataDxfId="67" dataCellStyle="Normal">
      <calculatedColumnFormula>IFERROR(AVERAGEIF('R I'!$G$6:$G$1048576,Tableau11[[#This Row],[FACTOR DE RIESGO]],'R I'!Q$7:Q$1048576),"")</calculatedColumnFormula>
    </tableColumn>
    <tableColumn id="3" name="CONSECUENCIA" dataDxfId="66" dataCellStyle="Normal">
      <calculatedColumnFormula>IFERROR(AVERAGEIF('R I'!$G$6:$G$1048576,Tableau11[[#This Row],[FACTOR DE RIESGO]],'R I'!AA$7:AA$1048576),"")</calculatedColumnFormula>
    </tableColumn>
    <tableColumn id="4" name="VALORACION" dataDxfId="65" dataCellStyle="Normal">
      <calculatedColumnFormula>IFERROR(ROUND(C6*D6,0),"")</calculatedColumnFormula>
    </tableColumn>
    <tableColumn id="5" name="NIVEL DE RIESGO" dataDxfId="64" dataCellStyle="Normal">
      <calculatedColumnFormula>IF(AND(E6&gt;0,E6&lt;8),"BAJO",IF(AND(E6&gt;=8,E6&lt;14),"MEDIO",IF(AND(E6&gt;=14,E6&lt;20),"ALTO",IF(AND(E6&gt;=20,E6&lt;26),"EXTREMO",""))))</calculatedColumnFormula>
    </tableColumn>
  </tableColumns>
  <tableStyleInfo name="BM" showFirstColumn="0" showLastColumn="0" showRowStripes="1" showColumnStripes="0"/>
</table>
</file>

<file path=xl/tables/table14.xml><?xml version="1.0" encoding="utf-8"?>
<table xmlns="http://schemas.openxmlformats.org/spreadsheetml/2006/main" id="10" name="Tableau10" displayName="Tableau10" ref="H5:J20" totalsRowShown="0" headerRowDxfId="63" headerRowBorderDxfId="62" tableBorderDxfId="61">
  <tableColumns count="3">
    <tableColumn id="1" name="Procesos/Áreas de Práctica" dataDxfId="60"/>
    <tableColumn id="2" name="Probabilidad" dataDxfId="59">
      <calculatedColumnFormula>IFERROR(AVERAGEIF('R I'!$C$7:$C$1048576,Tableau10[[#This Row],[Procesos/Áreas de Práctica]],'R I'!$Q$7:$Q$1048576),0)</calculatedColumnFormula>
    </tableColumn>
    <tableColumn id="3" name="Valoración de la Consecuencia" dataDxfId="58">
      <calculatedColumnFormula>IFERROR(AVERAGEIF('R I'!$C$7:$C$1048576,Tableau10[[#This Row],[Procesos/Áreas de Práctica]],'R I'!$AA$7:$AA$1048576),0)</calculatedColumnFormula>
    </tableColumn>
  </tableColumns>
  <tableStyleInfo name="BM" showFirstColumn="0" showLastColumn="0" showRowStripes="1" showColumnStripes="0"/>
</table>
</file>

<file path=xl/tables/table15.xml><?xml version="1.0" encoding="utf-8"?>
<table xmlns="http://schemas.openxmlformats.org/spreadsheetml/2006/main" id="7" name="Tableau108" displayName="Tableau108" ref="L5:M9" totalsRowShown="0" headerRowDxfId="57" headerRowBorderDxfId="56" tableBorderDxfId="55">
  <tableColumns count="2">
    <tableColumn id="1" name="Riesgos asociados" dataDxfId="54">
      <calculatedColumnFormula>Tablas1!B24</calculatedColumnFormula>
    </tableColumn>
    <tableColumn id="3" name="Promedio" dataDxfId="53">
      <calculatedColumnFormula>IFERROR(AVERAGE('R I'!$W$7:$W$20),0)</calculatedColumnFormula>
    </tableColumn>
  </tableColumns>
  <tableStyleInfo name="BM" showFirstColumn="0" showLastColumn="0" showRowStripes="1" showColumnStripes="0"/>
</table>
</file>

<file path=xl/tables/table16.xml><?xml version="1.0" encoding="utf-8"?>
<table xmlns="http://schemas.openxmlformats.org/spreadsheetml/2006/main" id="12" name="Tableau12" displayName="Tableau12" ref="AC2:AE3" totalsRowShown="0" headerRowDxfId="31">
  <tableColumns count="3">
    <tableColumn id="1" name="Riesgo Residual" dataDxfId="30"/>
    <tableColumn id="2" name="Prob Conse Resid" dataDxfId="29">
      <calculatedColumnFormula>AVERAGE(T9:T1048576)</calculatedColumnFormula>
    </tableColumn>
    <tableColumn id="3" name="Val Conse Resid" dataDxfId="28">
      <calculatedColumnFormula>AVERAGE(U9:U1048576)</calculatedColumnFormula>
    </tableColumn>
  </tableColumns>
  <tableStyleInfo name="BM" showFirstColumn="0" showLastColumn="0" showRowStripes="1" showColumnStripes="0"/>
</table>
</file>

<file path=xl/tables/table17.xml><?xml version="1.0" encoding="utf-8"?>
<table xmlns="http://schemas.openxmlformats.org/spreadsheetml/2006/main" id="15" name="Tableau15" displayName="Tableau15" ref="B5:F10" totalsRowShown="0" headerRowDxfId="23" dataDxfId="22">
  <tableColumns count="5">
    <tableColumn id="1" name="FACTOR DE RIESGO" dataDxfId="21">
      <calculatedColumnFormula>Tablas1!H3</calculatedColumnFormula>
    </tableColumn>
    <tableColumn id="2" name="PROBABILIDAD" dataDxfId="20">
      <calculatedColumnFormula>IFERROR(AVERAGEIF('R R'!$E$7:$G$1048576,Tableau15[[#This Row],[FACTOR DE RIESGO]],'R R'!T$7:T$1048576),"")</calculatedColumnFormula>
    </tableColumn>
    <tableColumn id="3" name="CONSECUENCIA" dataDxfId="19">
      <calculatedColumnFormula>IFERROR(AVERAGEIF('R R'!$E$7:$G$1048576,Tableau15[[#This Row],[FACTOR DE RIESGO]],'R R'!U$7:U$1048576),"")</calculatedColumnFormula>
    </tableColumn>
    <tableColumn id="4" name="VALORACION" dataDxfId="18">
      <calculatedColumnFormula>IFERROR(ROUND(C6*D6,0),"")</calculatedColumnFormula>
    </tableColumn>
    <tableColumn id="5" name="NIVEL DE RIESGO" dataDxfId="17">
      <calculatedColumnFormula>IF(AND(E6&gt;0,E6&lt;8),"BAJO",IF(AND(E6&gt;=8,E6&lt;14),"MEDIO",IF(AND(E6&gt;=14,E6&lt;20),"ALTO",IF(AND(E6&gt;=20,E6&lt;26),"EXTREMO",""))))</calculatedColumnFormula>
    </tableColumn>
  </tableColumns>
  <tableStyleInfo name="BM" showFirstColumn="0" showLastColumn="0" showRowStripes="1" showColumnStripes="0"/>
</table>
</file>

<file path=xl/tables/table18.xml><?xml version="1.0" encoding="utf-8"?>
<table xmlns="http://schemas.openxmlformats.org/spreadsheetml/2006/main" id="13" name="Tableau13" displayName="Tableau13" ref="H5:J13" totalsRowShown="0" headerRowDxfId="16" dataDxfId="15" tableBorderDxfId="14">
  <autoFilter ref="H5:J13"/>
  <tableColumns count="3">
    <tableColumn id="1" name="Proceso/Área de práctica" dataDxfId="13"/>
    <tableColumn id="2" name="Probabilidad" dataDxfId="12">
      <calculatedColumnFormula>IFERROR(AVERAGEIF('R R'!$C$9:$C$1048576,Tableau13[[#This Row],[Proceso/Área de práctica]],'R R'!$T$9:$T$1048576),0)</calculatedColumnFormula>
    </tableColumn>
    <tableColumn id="3" name="Valoración" dataDxfId="11">
      <calculatedColumnFormula>IFERROR(AVERAGEIF('R R'!$C$9:$C$1048576,Tableau13[[#This Row],[Proceso/Área de práctica]],'R R'!$U$9:$U$1048576),0)</calculatedColumnFormula>
    </tableColumn>
  </tableColumns>
  <tableStyleInfo name="BM" showFirstColumn="0" showLastColumn="0" showRowStripes="1" showColumnStripes="0"/>
</table>
</file>

<file path=xl/tables/table19.xml><?xml version="1.0" encoding="utf-8"?>
<table xmlns="http://schemas.openxmlformats.org/spreadsheetml/2006/main" id="9" name="Tableau10810" displayName="Tableau10810" ref="L5:M9" totalsRowShown="0" headerRowDxfId="10" headerRowBorderDxfId="9" tableBorderDxfId="8">
  <tableColumns count="2">
    <tableColumn id="1" name="Riesgos asociados" dataDxfId="7">
      <calculatedColumnFormula>Tablas1!B24</calculatedColumnFormula>
    </tableColumn>
    <tableColumn id="3" name="Promedio" dataDxfId="6">
      <calculatedColumnFormula>IFERROR(AVERAGE('R R'!$L$9:$L$1048576),0)</calculatedColumnFormula>
    </tableColumn>
  </tableColumns>
  <tableStyleInfo name="BM" showFirstColumn="0" showLastColumn="0" showRowStripes="1" showColumnStripes="0"/>
</table>
</file>

<file path=xl/tables/table2.xml><?xml version="1.0" encoding="utf-8"?>
<table xmlns="http://schemas.openxmlformats.org/spreadsheetml/2006/main" id="3" name="Tableau3" displayName="Tableau3" ref="E2:F29" totalsRowShown="0" headerRowDxfId="233" dataDxfId="232" headerRowCellStyle="Normal" dataCellStyle="Normal">
  <autoFilter ref="E2:F29"/>
  <tableColumns count="2">
    <tableColumn id="1" name="Subproceso" dataDxfId="231" dataCellStyle="Normal"/>
    <tableColumn id="2" name="Código subproceso" dataDxfId="230" dataCellStyle="Normal"/>
  </tableColumns>
  <tableStyleInfo name="BM" showFirstColumn="0" showLastColumn="0" showRowStripes="1" showColumnStripes="0"/>
</table>
</file>

<file path=xl/tables/table3.xml><?xml version="1.0" encoding="utf-8"?>
<table xmlns="http://schemas.openxmlformats.org/spreadsheetml/2006/main" id="5" name="Tableau5" displayName="Tableau5" ref="B23:C27" totalsRowShown="0" headerRowDxfId="229" dataDxfId="228">
  <autoFilter ref="B23:C27"/>
  <tableColumns count="2">
    <tableColumn id="1" name="Tipo riesgo" dataDxfId="227"/>
    <tableColumn id="2" name="Código riesgo" dataDxfId="226"/>
  </tableColumns>
  <tableStyleInfo name="BM" showFirstColumn="0" showLastColumn="0" showRowStripes="1" showColumnStripes="0"/>
</table>
</file>

<file path=xl/tables/table4.xml><?xml version="1.0" encoding="utf-8"?>
<table xmlns="http://schemas.openxmlformats.org/spreadsheetml/2006/main" id="8" name="Tableau8" displayName="Tableau8" ref="B29:C33" totalsRowShown="0" headerRowDxfId="225" dataDxfId="224" headerRowCellStyle="Normal" dataCellStyle="Normal">
  <autoFilter ref="B29:C33"/>
  <tableColumns count="2">
    <tableColumn id="1" name="Nivel de riesgo" dataDxfId="223" dataCellStyle="Normal"/>
    <tableColumn id="2" name="Tratamiento" dataDxfId="222" dataCellStyle="Normal"/>
  </tableColumns>
  <tableStyleInfo name="BM" showFirstColumn="0" showLastColumn="0" showRowStripes="1" showColumnStripes="0"/>
</table>
</file>

<file path=xl/tables/table5.xml><?xml version="1.0" encoding="utf-8"?>
<table xmlns="http://schemas.openxmlformats.org/spreadsheetml/2006/main" id="6" name="Tableau68" displayName="Tableau68" ref="B35:B38" totalsRowShown="0" headerRowDxfId="221" dataDxfId="220">
  <tableColumns count="1">
    <tableColumn id="1" name="Estado de acciones" dataDxfId="219"/>
  </tableColumns>
  <tableStyleInfo name="BM" showFirstColumn="0" showLastColumn="0" showRowStripes="1" showColumnStripes="0"/>
</table>
</file>

<file path=xl/tables/table6.xml><?xml version="1.0" encoding="utf-8"?>
<table xmlns="http://schemas.openxmlformats.org/spreadsheetml/2006/main" id="2" name="Tabla2" displayName="Tabla2" ref="H2:I14" totalsRowShown="0" headerRowDxfId="218" dataDxfId="217" headerRowCellStyle="Normal" dataCellStyle="Normal">
  <autoFilter ref="H2:I14"/>
  <tableColumns count="2">
    <tableColumn id="1" name="Factores de Riesgo" dataDxfId="216" dataCellStyle="Normal"/>
    <tableColumn id="2" name="Código Factor" dataDxfId="215" dataCellStyle="Normal"/>
  </tableColumns>
  <tableStyleInfo name="BM" showFirstColumn="0" showLastColumn="0" showRowStripes="1" showColumnStripes="0"/>
</table>
</file>

<file path=xl/tables/table7.xml><?xml version="1.0" encoding="utf-8"?>
<table xmlns="http://schemas.openxmlformats.org/spreadsheetml/2006/main" id="4" name="Tableau35" displayName="Tableau35" ref="I14:N25" totalsRowShown="0" headerRowDxfId="214" dataDxfId="213" headerRowCellStyle="Normal" dataCellStyle="Normal">
  <tableColumns count="6">
    <tableColumn id="1" name="COD" dataDxfId="212" dataCellStyle="Normal"/>
    <tableColumn id="2" name="RC" dataDxfId="211" dataCellStyle="Normal"/>
    <tableColumn id="3" name="RL" dataDxfId="210" dataCellStyle="Normal"/>
    <tableColumn id="4" name="RR" dataDxfId="209" dataCellStyle="Normal"/>
    <tableColumn id="5" name="RO" dataDxfId="208" dataCellStyle="Normal"/>
    <tableColumn id="6" name="CONSECUENCIAS" dataDxfId="207" dataCellStyle="Normal"/>
  </tableColumns>
  <tableStyleInfo name="BM" showFirstColumn="0" showLastColumn="0" showRowStripes="1" showColumnStripes="0"/>
</table>
</file>

<file path=xl/tables/table8.xml><?xml version="1.0" encoding="utf-8"?>
<table xmlns="http://schemas.openxmlformats.org/spreadsheetml/2006/main" id="14" name="Tabla14" displayName="Tabla14" ref="A1:H6" totalsRowShown="0">
  <autoFilter ref="A1:H6"/>
  <tableColumns count="8">
    <tableColumn id="1" name="Procesos/Áreas de práctica"/>
    <tableColumn id="2" name="Subproceso"/>
    <tableColumn id="3" name="No. Riesgo"/>
    <tableColumn id="4" name="Código evento"/>
    <tableColumn id="5" name="Factor de riesgo"/>
    <tableColumn id="6" name="Código proceso"/>
    <tableColumn id="7" name="Código riesgo"/>
    <tableColumn id="8" name="Evento de riesgo"/>
  </tableColumns>
  <tableStyleInfo name="TableStyleMedium2" showFirstColumn="0" showLastColumn="0" showRowStripes="1" showColumnStripes="0"/>
</table>
</file>

<file path=xl/tables/table9.xml><?xml version="1.0" encoding="utf-8"?>
<table xmlns="http://schemas.openxmlformats.org/spreadsheetml/2006/main" id="16" name="Tabla16" displayName="Tabla16" ref="A1:H3" totalsRowShown="0">
  <autoFilter ref="A1:H3"/>
  <tableColumns count="8">
    <tableColumn id="1" name="Procesos/Áreas de práctica"/>
    <tableColumn id="2" name="Subproceso"/>
    <tableColumn id="3" name="No. Riesgo"/>
    <tableColumn id="4" name="Código evento"/>
    <tableColumn id="5" name="Factor de riesgo"/>
    <tableColumn id="6" name="Código proceso"/>
    <tableColumn id="7" name="Código riesgo"/>
    <tableColumn id="8" name="Evento de riesgo"/>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12.xml.rels><?xml version="1.0" encoding="UTF-8" standalone="yes"?>
<Relationships xmlns="http://schemas.openxmlformats.org/package/2006/relationships"><Relationship Id="rId3" Type="http://schemas.openxmlformats.org/officeDocument/2006/relationships/table" Target="../tables/table13.xml"/><Relationship Id="rId2" Type="http://schemas.openxmlformats.org/officeDocument/2006/relationships/drawing" Target="../drawings/drawing7.xml"/><Relationship Id="rId1" Type="http://schemas.openxmlformats.org/officeDocument/2006/relationships/printerSettings" Target="../printerSettings/printerSettings5.bin"/><Relationship Id="rId5" Type="http://schemas.openxmlformats.org/officeDocument/2006/relationships/table" Target="../tables/table15.xml"/><Relationship Id="rId4" Type="http://schemas.openxmlformats.org/officeDocument/2006/relationships/table" Target="../tables/table14.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14.xml.rels><?xml version="1.0" encoding="UTF-8" standalone="yes"?>
<Relationships xmlns="http://schemas.openxmlformats.org/package/2006/relationships"><Relationship Id="rId3" Type="http://schemas.openxmlformats.org/officeDocument/2006/relationships/table" Target="../tables/table16.xml"/><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5.xml.rels><?xml version="1.0" encoding="UTF-8" standalone="yes"?>
<Relationships xmlns="http://schemas.openxmlformats.org/package/2006/relationships"><Relationship Id="rId3" Type="http://schemas.openxmlformats.org/officeDocument/2006/relationships/table" Target="../tables/table18.xml"/><Relationship Id="rId2" Type="http://schemas.openxmlformats.org/officeDocument/2006/relationships/table" Target="../tables/table17.xml"/><Relationship Id="rId1" Type="http://schemas.openxmlformats.org/officeDocument/2006/relationships/drawing" Target="../drawings/drawing10.xml"/><Relationship Id="rId4" Type="http://schemas.openxmlformats.org/officeDocument/2006/relationships/table" Target="../tables/table19.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8.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8" Type="http://schemas.openxmlformats.org/officeDocument/2006/relationships/table" Target="../tables/table6.xml"/><Relationship Id="rId3" Type="http://schemas.openxmlformats.org/officeDocument/2006/relationships/table" Target="../tables/table1.xml"/><Relationship Id="rId7" Type="http://schemas.openxmlformats.org/officeDocument/2006/relationships/table" Target="../tables/table5.xml"/><Relationship Id="rId2" Type="http://schemas.openxmlformats.org/officeDocument/2006/relationships/drawing" Target="../drawings/drawing3.xml"/><Relationship Id="rId1" Type="http://schemas.openxmlformats.org/officeDocument/2006/relationships/printerSettings" Target="../printerSettings/printerSettings1.bin"/><Relationship Id="rId6" Type="http://schemas.openxmlformats.org/officeDocument/2006/relationships/table" Target="../tables/table4.xml"/><Relationship Id="rId5" Type="http://schemas.openxmlformats.org/officeDocument/2006/relationships/table" Target="../tables/table3.xml"/><Relationship Id="rId4" Type="http://schemas.openxmlformats.org/officeDocument/2006/relationships/table" Target="../tables/table2.xml"/></Relationships>
</file>

<file path=xl/worksheets/_rels/sheet4.xml.rels><?xml version="1.0" encoding="UTF-8" standalone="yes"?>
<Relationships xmlns="http://schemas.openxmlformats.org/package/2006/relationships"><Relationship Id="rId3" Type="http://schemas.openxmlformats.org/officeDocument/2006/relationships/table" Target="../tables/table7.xml"/><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table" Target="../tables/table8.xml"/></Relationships>
</file>

<file path=xl/worksheets/_rels/sheet6.xml.rels><?xml version="1.0" encoding="UTF-8" standalone="yes"?>
<Relationships xmlns="http://schemas.openxmlformats.org/package/2006/relationships"><Relationship Id="rId1" Type="http://schemas.openxmlformats.org/officeDocument/2006/relationships/table" Target="../tables/table9.xml"/></Relationships>
</file>

<file path=xl/worksheets/_rels/sheet7.xml.rels><?xml version="1.0" encoding="UTF-8" standalone="yes"?>
<Relationships xmlns="http://schemas.openxmlformats.org/package/2006/relationships"><Relationship Id="rId1" Type="http://schemas.openxmlformats.org/officeDocument/2006/relationships/table" Target="../tables/table10.xml"/></Relationships>
</file>

<file path=xl/worksheets/_rels/sheet8.xml.rels><?xml version="1.0" encoding="UTF-8" standalone="yes"?>
<Relationships xmlns="http://schemas.openxmlformats.org/package/2006/relationships"><Relationship Id="rId1" Type="http://schemas.openxmlformats.org/officeDocument/2006/relationships/table" Target="../tables/table11.xml"/></Relationships>
</file>

<file path=xl/worksheets/_rels/sheet9.xml.rels><?xml version="1.0" encoding="UTF-8" standalone="yes"?>
<Relationships xmlns="http://schemas.openxmlformats.org/package/2006/relationships"><Relationship Id="rId1" Type="http://schemas.openxmlformats.org/officeDocument/2006/relationships/table" Target="../tables/table1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E29"/>
  <sheetViews>
    <sheetView showGridLines="0" showRowColHeaders="0" zoomScale="70" zoomScaleNormal="70" workbookViewId="0">
      <pane ySplit="27" topLeftCell="A28" activePane="bottomLeft" state="frozen"/>
      <selection pane="bottomLeft" activeCell="E27" sqref="E27"/>
    </sheetView>
  </sheetViews>
  <sheetFormatPr baseColWidth="10" defaultColWidth="0" defaultRowHeight="14.25" customHeight="1" zeroHeight="1" x14ac:dyDescent="0.3"/>
  <cols>
    <col min="1" max="4" width="12.21875" style="60" customWidth="1"/>
    <col min="5" max="5" width="100.77734375" style="60" customWidth="1"/>
    <col min="6" max="16384" width="12.21875" style="60" hidden="1"/>
  </cols>
  <sheetData>
    <row r="1" spans="1:5" ht="14.25" customHeight="1" x14ac:dyDescent="0.3">
      <c r="A1" s="62"/>
      <c r="B1" s="62"/>
      <c r="C1" s="62"/>
      <c r="D1" s="62"/>
      <c r="E1" s="62"/>
    </row>
    <row r="2" spans="1:5" ht="14.25" customHeight="1" x14ac:dyDescent="0.3">
      <c r="A2" s="62"/>
      <c r="B2" s="62"/>
      <c r="C2" s="62"/>
      <c r="D2" s="62"/>
      <c r="E2" s="62"/>
    </row>
    <row r="3" spans="1:5" ht="14.25" customHeight="1" x14ac:dyDescent="0.3">
      <c r="A3" s="62"/>
      <c r="B3" s="62"/>
      <c r="C3" s="62"/>
      <c r="D3" s="62"/>
      <c r="E3" s="62"/>
    </row>
    <row r="4" spans="1:5" ht="100.05" customHeight="1" x14ac:dyDescent="0.3">
      <c r="A4" s="62"/>
      <c r="B4" s="62"/>
      <c r="C4" s="62"/>
      <c r="D4" s="62"/>
      <c r="E4" s="62"/>
    </row>
    <row r="5" spans="1:5" ht="14.25" customHeight="1" x14ac:dyDescent="0.3">
      <c r="A5" s="62"/>
      <c r="B5" s="62"/>
      <c r="C5" s="62"/>
      <c r="D5" s="62"/>
      <c r="E5" s="62"/>
    </row>
    <row r="6" spans="1:5" ht="14.25" customHeight="1" x14ac:dyDescent="0.3">
      <c r="A6" s="62"/>
      <c r="B6" s="62"/>
      <c r="C6" s="62"/>
      <c r="D6" s="62"/>
      <c r="E6" s="62"/>
    </row>
    <row r="7" spans="1:5" ht="14.25" customHeight="1" x14ac:dyDescent="0.3">
      <c r="A7" s="63"/>
      <c r="B7" s="64"/>
      <c r="C7" s="62"/>
      <c r="D7" s="62"/>
      <c r="E7" s="62"/>
    </row>
    <row r="8" spans="1:5" ht="14.25" customHeight="1" x14ac:dyDescent="0.3">
      <c r="A8" s="65"/>
      <c r="B8" s="66"/>
      <c r="C8" s="62"/>
      <c r="D8" s="62"/>
      <c r="E8" s="62"/>
    </row>
    <row r="9" spans="1:5" ht="14.25" customHeight="1" x14ac:dyDescent="0.3">
      <c r="A9" s="62"/>
      <c r="B9" s="62"/>
      <c r="C9" s="62"/>
      <c r="D9" s="62"/>
      <c r="E9" s="62"/>
    </row>
    <row r="10" spans="1:5" ht="14.25" customHeight="1" x14ac:dyDescent="0.3">
      <c r="A10" s="62"/>
      <c r="B10" s="62"/>
      <c r="C10" s="62"/>
      <c r="D10" s="62"/>
      <c r="E10" s="62"/>
    </row>
    <row r="11" spans="1:5" ht="14.25" customHeight="1" x14ac:dyDescent="0.3">
      <c r="A11" s="62"/>
      <c r="B11" s="62"/>
      <c r="C11" s="62"/>
      <c r="D11" s="62"/>
      <c r="E11" s="62"/>
    </row>
    <row r="12" spans="1:5" ht="14.25" customHeight="1" x14ac:dyDescent="0.3">
      <c r="A12" s="62"/>
      <c r="B12" s="62"/>
      <c r="C12" s="62"/>
      <c r="D12" s="62"/>
      <c r="E12" s="62"/>
    </row>
    <row r="13" spans="1:5" ht="14.25" customHeight="1" x14ac:dyDescent="0.3">
      <c r="A13" s="62"/>
      <c r="B13" s="62"/>
      <c r="C13" s="62"/>
      <c r="D13" s="62"/>
      <c r="E13" s="62"/>
    </row>
    <row r="14" spans="1:5" ht="14.25" customHeight="1" x14ac:dyDescent="0.3">
      <c r="A14" s="62"/>
      <c r="B14" s="62"/>
      <c r="C14" s="62"/>
      <c r="D14" s="62"/>
      <c r="E14" s="62"/>
    </row>
    <row r="15" spans="1:5" ht="14.25" customHeight="1" x14ac:dyDescent="0.3">
      <c r="A15" s="62"/>
      <c r="B15" s="62"/>
      <c r="C15" s="62"/>
      <c r="D15" s="62"/>
      <c r="E15" s="62"/>
    </row>
    <row r="16" spans="1:5" ht="14.25" customHeight="1" x14ac:dyDescent="0.3">
      <c r="A16" s="62"/>
      <c r="B16" s="62"/>
      <c r="C16" s="62"/>
      <c r="D16" s="62"/>
      <c r="E16" s="62"/>
    </row>
    <row r="17" spans="1:5" ht="14.25" customHeight="1" x14ac:dyDescent="0.3">
      <c r="A17" s="62"/>
      <c r="B17" s="62"/>
      <c r="C17" s="62"/>
      <c r="D17" s="62"/>
      <c r="E17" s="62"/>
    </row>
    <row r="18" spans="1:5" ht="14.25" customHeight="1" x14ac:dyDescent="0.3">
      <c r="A18" s="62"/>
      <c r="B18" s="62"/>
      <c r="C18" s="62"/>
      <c r="D18" s="62"/>
      <c r="E18" s="62"/>
    </row>
    <row r="19" spans="1:5" ht="14.25" customHeight="1" x14ac:dyDescent="0.3">
      <c r="A19" s="62"/>
      <c r="B19" s="62"/>
      <c r="C19" s="62"/>
      <c r="D19" s="62"/>
      <c r="E19" s="62"/>
    </row>
    <row r="20" spans="1:5" ht="14.25" customHeight="1" x14ac:dyDescent="0.3">
      <c r="A20" s="62"/>
      <c r="B20" s="62"/>
      <c r="C20" s="62"/>
      <c r="D20" s="62"/>
      <c r="E20" s="62"/>
    </row>
    <row r="21" spans="1:5" ht="14.25" customHeight="1" x14ac:dyDescent="0.3">
      <c r="A21" s="62"/>
      <c r="B21" s="62"/>
      <c r="C21" s="62"/>
      <c r="D21" s="62"/>
      <c r="E21" s="62"/>
    </row>
    <row r="22" spans="1:5" ht="14.25" customHeight="1" x14ac:dyDescent="0.3">
      <c r="A22" s="62"/>
      <c r="B22" s="62"/>
      <c r="C22" s="62"/>
      <c r="D22" s="62"/>
      <c r="E22" s="62"/>
    </row>
    <row r="23" spans="1:5" ht="14.25" customHeight="1" x14ac:dyDescent="0.3">
      <c r="A23" s="62"/>
      <c r="B23" s="62"/>
      <c r="C23" s="62"/>
      <c r="D23" s="62"/>
      <c r="E23" s="62"/>
    </row>
    <row r="24" spans="1:5" ht="14.25" customHeight="1" x14ac:dyDescent="0.3">
      <c r="A24" s="62"/>
      <c r="B24" s="62"/>
      <c r="C24" s="62"/>
      <c r="D24" s="62"/>
      <c r="E24" s="62"/>
    </row>
    <row r="25" spans="1:5" ht="14.25" customHeight="1" x14ac:dyDescent="0.3">
      <c r="A25" s="62"/>
      <c r="B25" s="62"/>
      <c r="C25" s="62"/>
      <c r="D25" s="62"/>
      <c r="E25" s="62"/>
    </row>
    <row r="26" spans="1:5" ht="14.25" customHeight="1" x14ac:dyDescent="0.3">
      <c r="A26" s="62"/>
      <c r="B26" s="62"/>
      <c r="C26" s="62"/>
      <c r="D26" s="62"/>
      <c r="E26" s="62"/>
    </row>
    <row r="27" spans="1:5" ht="14.25" customHeight="1" x14ac:dyDescent="0.3">
      <c r="A27" s="62"/>
      <c r="B27" s="62"/>
      <c r="C27" s="62"/>
      <c r="D27" s="62"/>
      <c r="E27" s="62"/>
    </row>
    <row r="28" spans="1:5" ht="14.25" customHeight="1" x14ac:dyDescent="0.3">
      <c r="A28" s="62"/>
      <c r="B28" s="62"/>
      <c r="C28" s="62"/>
      <c r="D28" s="62"/>
      <c r="E28" s="62"/>
    </row>
    <row r="29" spans="1:5" ht="14.25" customHeight="1" x14ac:dyDescent="0.3">
      <c r="A29" s="62"/>
      <c r="B29" s="62"/>
      <c r="C29" s="62"/>
      <c r="D29" s="62"/>
      <c r="E29" s="62"/>
    </row>
  </sheetData>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rgb="FF00B0F0"/>
  </sheetPr>
  <dimension ref="B1:AM21"/>
  <sheetViews>
    <sheetView zoomScale="80" zoomScaleNormal="80" zoomScalePageLayoutView="32" workbookViewId="0">
      <selection activeCell="C5" sqref="C5:C6"/>
    </sheetView>
  </sheetViews>
  <sheetFormatPr baseColWidth="10" defaultColWidth="11.21875" defaultRowHeight="13.8" x14ac:dyDescent="0.3"/>
  <cols>
    <col min="1" max="1" width="2.21875" style="3" customWidth="1"/>
    <col min="2" max="2" width="10.77734375" style="3" hidden="1" customWidth="1"/>
    <col min="3" max="3" width="20.5546875" style="6" customWidth="1"/>
    <col min="4" max="4" width="22.21875" style="6" customWidth="1"/>
    <col min="5" max="5" width="17.21875" style="6" customWidth="1"/>
    <col min="6" max="6" width="14.5546875" style="6" customWidth="1"/>
    <col min="7" max="7" width="13.77734375" style="6" customWidth="1"/>
    <col min="8" max="8" width="21.77734375" style="6" customWidth="1"/>
    <col min="9" max="9" width="20.77734375" style="6" customWidth="1"/>
    <col min="10" max="10" width="48.21875" style="150" customWidth="1"/>
    <col min="11" max="11" width="6.5546875" style="2" customWidth="1"/>
    <col min="12" max="12" width="6.21875" style="2" customWidth="1"/>
    <col min="13" max="13" width="7.21875" style="2" customWidth="1"/>
    <col min="14" max="14" width="6.77734375" style="2" customWidth="1"/>
    <col min="15" max="15" width="24.77734375" style="3" customWidth="1"/>
    <col min="16" max="16" width="28.21875" style="3" customWidth="1"/>
    <col min="17" max="17" width="5.77734375" style="3" customWidth="1"/>
    <col min="18" max="18" width="4.77734375" style="3" hidden="1" customWidth="1"/>
    <col min="19" max="22" width="6.77734375" style="3" hidden="1" customWidth="1"/>
    <col min="23" max="27" width="6.77734375" style="3" customWidth="1"/>
    <col min="28" max="28" width="8.21875" style="4" customWidth="1"/>
    <col min="29" max="29" width="16" style="4" customWidth="1"/>
    <col min="30" max="30" width="17.5546875" style="21" customWidth="1"/>
    <col min="31" max="31" width="26.77734375" style="21" customWidth="1"/>
    <col min="32" max="32" width="17.77734375" style="21" customWidth="1"/>
    <col min="33" max="33" width="38.77734375" style="23" customWidth="1"/>
    <col min="34" max="34" width="9" style="23" customWidth="1"/>
    <col min="35" max="35" width="27.77734375" style="21" bestFit="1" customWidth="1"/>
    <col min="36" max="36" width="17.21875" style="21" customWidth="1"/>
    <col min="37" max="37" width="18.21875" style="21" bestFit="1" customWidth="1"/>
    <col min="38" max="38" width="11.21875" style="21"/>
    <col min="39" max="39" width="27.77734375" style="3" bestFit="1" customWidth="1"/>
    <col min="40" max="41" width="15.21875" style="3" customWidth="1"/>
    <col min="42" max="16384" width="11.21875" style="3"/>
  </cols>
  <sheetData>
    <row r="1" spans="2:39" x14ac:dyDescent="0.3">
      <c r="AB1" s="3"/>
      <c r="AC1" s="3"/>
    </row>
    <row r="2" spans="2:39" ht="63.75" customHeight="1" x14ac:dyDescent="0.3">
      <c r="C2" s="16"/>
      <c r="D2" s="187" t="s">
        <v>450</v>
      </c>
      <c r="E2" s="187"/>
      <c r="F2" s="187"/>
      <c r="G2" s="187"/>
      <c r="H2" s="187"/>
      <c r="I2" s="187"/>
      <c r="J2" s="187"/>
      <c r="K2" s="187"/>
      <c r="L2" s="187"/>
      <c r="M2" s="187"/>
      <c r="N2" s="187"/>
      <c r="O2" s="187"/>
      <c r="P2" s="187"/>
      <c r="Q2" s="187"/>
      <c r="R2" s="187"/>
      <c r="S2" s="187"/>
      <c r="T2" s="187"/>
      <c r="U2" s="187"/>
      <c r="V2" s="187"/>
      <c r="W2" s="187"/>
      <c r="X2" s="187"/>
      <c r="Y2" s="187"/>
      <c r="Z2" s="187"/>
      <c r="AA2" s="187"/>
      <c r="AB2" s="187"/>
      <c r="AC2" s="187"/>
      <c r="AH2" s="34"/>
      <c r="AI2" s="68" t="s">
        <v>190</v>
      </c>
      <c r="AJ2" s="68" t="s">
        <v>94</v>
      </c>
      <c r="AK2" s="68" t="s">
        <v>193</v>
      </c>
      <c r="AL2" s="22"/>
    </row>
    <row r="3" spans="2:39" ht="27" customHeight="1" x14ac:dyDescent="0.3">
      <c r="B3" s="193" t="s">
        <v>38</v>
      </c>
      <c r="C3" s="193"/>
      <c r="D3" s="193"/>
      <c r="E3" s="193"/>
      <c r="F3" s="193"/>
      <c r="G3" s="193"/>
      <c r="H3" s="193"/>
      <c r="I3" s="193"/>
      <c r="J3" s="193"/>
      <c r="K3" s="193"/>
      <c r="L3" s="193"/>
      <c r="M3" s="193"/>
      <c r="N3" s="193"/>
      <c r="O3" s="193"/>
      <c r="P3" s="193"/>
      <c r="Q3" s="193"/>
      <c r="R3" s="193"/>
      <c r="S3" s="193"/>
      <c r="T3" s="193"/>
      <c r="U3" s="193"/>
      <c r="V3" s="193"/>
      <c r="W3" s="193"/>
      <c r="X3" s="193"/>
      <c r="Y3" s="193"/>
      <c r="Z3" s="193"/>
      <c r="AA3" s="193"/>
      <c r="AB3" s="193"/>
      <c r="AC3" s="193"/>
      <c r="AI3" s="51" t="s">
        <v>95</v>
      </c>
      <c r="AJ3" s="42">
        <f>AVERAGE(Q7:Q1048576)</f>
        <v>2.7333333333333334</v>
      </c>
      <c r="AK3" s="42">
        <f>AVERAGE(AA7:AA1048576)</f>
        <v>3.4055555555555554</v>
      </c>
    </row>
    <row r="4" spans="2:39" ht="24.75" customHeight="1" x14ac:dyDescent="0.3">
      <c r="B4" s="192" t="s">
        <v>40</v>
      </c>
      <c r="C4" s="192"/>
      <c r="D4" s="192"/>
      <c r="E4" s="192"/>
      <c r="F4" s="192"/>
      <c r="G4" s="192"/>
      <c r="H4" s="192"/>
      <c r="I4" s="192"/>
      <c r="J4" s="192"/>
      <c r="K4" s="192" t="s">
        <v>41</v>
      </c>
      <c r="L4" s="192"/>
      <c r="M4" s="192"/>
      <c r="N4" s="192"/>
      <c r="O4" s="192"/>
      <c r="P4" s="192"/>
      <c r="Q4" s="190" t="s">
        <v>39</v>
      </c>
      <c r="R4" s="191"/>
      <c r="S4" s="191"/>
      <c r="T4" s="191"/>
      <c r="U4" s="191"/>
      <c r="V4" s="191"/>
      <c r="W4" s="191"/>
      <c r="X4" s="191"/>
      <c r="Y4" s="191"/>
      <c r="Z4" s="191"/>
      <c r="AA4" s="191"/>
      <c r="AB4" s="191"/>
      <c r="AC4" s="191"/>
      <c r="AM4" s="21"/>
    </row>
    <row r="5" spans="2:39" ht="46.5" customHeight="1" x14ac:dyDescent="0.3">
      <c r="B5" s="188" t="s">
        <v>392</v>
      </c>
      <c r="C5" s="188" t="s">
        <v>444</v>
      </c>
      <c r="D5" s="188" t="s">
        <v>224</v>
      </c>
      <c r="E5" s="188" t="s">
        <v>393</v>
      </c>
      <c r="F5" s="188" t="s">
        <v>424</v>
      </c>
      <c r="G5" s="188" t="s">
        <v>394</v>
      </c>
      <c r="H5" s="188" t="s">
        <v>272</v>
      </c>
      <c r="I5" s="188" t="s">
        <v>274</v>
      </c>
      <c r="J5" s="188" t="s">
        <v>391</v>
      </c>
      <c r="K5" s="188" t="s">
        <v>395</v>
      </c>
      <c r="L5" s="188"/>
      <c r="M5" s="188"/>
      <c r="N5" s="188"/>
      <c r="O5" s="188" t="s">
        <v>396</v>
      </c>
      <c r="P5" s="188" t="s">
        <v>397</v>
      </c>
      <c r="Q5" s="189" t="s">
        <v>94</v>
      </c>
      <c r="R5" s="189" t="s">
        <v>256</v>
      </c>
      <c r="S5" s="188" t="s">
        <v>285</v>
      </c>
      <c r="T5" s="188"/>
      <c r="U5" s="188"/>
      <c r="V5" s="188"/>
      <c r="W5" s="188" t="s">
        <v>398</v>
      </c>
      <c r="X5" s="188"/>
      <c r="Y5" s="188"/>
      <c r="Z5" s="188"/>
      <c r="AA5" s="189" t="s">
        <v>417</v>
      </c>
      <c r="AB5" s="189" t="s">
        <v>399</v>
      </c>
      <c r="AC5" s="194" t="s">
        <v>400</v>
      </c>
      <c r="AL5" s="29"/>
      <c r="AM5" s="21"/>
    </row>
    <row r="6" spans="2:39" ht="44.25" customHeight="1" x14ac:dyDescent="0.3">
      <c r="B6" s="188"/>
      <c r="C6" s="188"/>
      <c r="D6" s="188"/>
      <c r="E6" s="188"/>
      <c r="F6" s="188"/>
      <c r="G6" s="188"/>
      <c r="H6" s="188"/>
      <c r="I6" s="188"/>
      <c r="J6" s="188"/>
      <c r="K6" s="94" t="s">
        <v>47</v>
      </c>
      <c r="L6" s="94" t="s">
        <v>44</v>
      </c>
      <c r="M6" s="94" t="s">
        <v>46</v>
      </c>
      <c r="N6" s="94" t="s">
        <v>45</v>
      </c>
      <c r="O6" s="188"/>
      <c r="P6" s="188"/>
      <c r="Q6" s="189"/>
      <c r="R6" s="189"/>
      <c r="S6" s="94" t="s">
        <v>47</v>
      </c>
      <c r="T6" s="94" t="s">
        <v>44</v>
      </c>
      <c r="U6" s="94" t="s">
        <v>46</v>
      </c>
      <c r="V6" s="94" t="s">
        <v>45</v>
      </c>
      <c r="W6" s="94" t="s">
        <v>47</v>
      </c>
      <c r="X6" s="94" t="s">
        <v>44</v>
      </c>
      <c r="Y6" s="94" t="s">
        <v>46</v>
      </c>
      <c r="Z6" s="94" t="s">
        <v>45</v>
      </c>
      <c r="AA6" s="189"/>
      <c r="AB6" s="189"/>
      <c r="AC6" s="194"/>
      <c r="AL6" s="30"/>
      <c r="AM6" s="21"/>
    </row>
    <row r="7" spans="2:39" ht="96" customHeight="1" x14ac:dyDescent="0.3">
      <c r="B7" s="74"/>
      <c r="C7" s="74" t="s">
        <v>553</v>
      </c>
      <c r="D7" s="74" t="s">
        <v>518</v>
      </c>
      <c r="E7" s="74">
        <f t="shared" ref="E7:E10" si="0">ROW(C7)-6</f>
        <v>1</v>
      </c>
      <c r="F7" s="74" t="s">
        <v>503</v>
      </c>
      <c r="G7" s="74" t="s">
        <v>530</v>
      </c>
      <c r="H7" s="92" t="str">
        <f>IFERROR(VLOOKUP($C7,Tablas1!$B$3:$C$22,2,0),"ERROR")</f>
        <v>LAFT16</v>
      </c>
      <c r="I7" s="93" t="str">
        <f>IFERROR(VLOOKUP(G7,Tablas1!$H$2:$I$14,2,0),"ERROR")</f>
        <v>FAC4</v>
      </c>
      <c r="J7" s="92" t="s">
        <v>565</v>
      </c>
      <c r="K7" s="76" t="s">
        <v>200</v>
      </c>
      <c r="L7" s="76" t="s">
        <v>200</v>
      </c>
      <c r="M7" s="76" t="s">
        <v>200</v>
      </c>
      <c r="N7" s="76" t="s">
        <v>200</v>
      </c>
      <c r="O7" s="140" t="s">
        <v>593</v>
      </c>
      <c r="P7" s="75" t="str">
        <f>VLOOKUP(CONCATENATE(IF(K7="X",1,0),IF(L7="X",2,0),IF(M7="X",3,0),IF(N7="X",4,0)),Puntuaciones!$I$15:$N$67,6,0)</f>
        <v>Mayor exposición de la Lotería al riesgo de LA/FT/FPADM.
Deterioro de los procesos operativos.
Pérdida de reputación.
Procesos judiciales, disciplinarios y/o legales.
Sanciones del supervisor, regulador y/o entes de control.
Pérdida de mercado.
Evento de contagio que afecte a la Lotería por el efecto rebote.</v>
      </c>
      <c r="Q7" s="73">
        <v>2</v>
      </c>
      <c r="R7" s="75">
        <f>COUNTIF(K7:N7,"X")</f>
        <v>4</v>
      </c>
      <c r="S7" s="81">
        <f>IF(K7="X",$W7/$R7,0)</f>
        <v>0.5</v>
      </c>
      <c r="T7" s="81">
        <f>IF(L7="X",$X7/$R7,0)</f>
        <v>1.25</v>
      </c>
      <c r="U7" s="81">
        <f>IF(M7="X",$Y7/$R7,0)</f>
        <v>0.75</v>
      </c>
      <c r="V7" s="81">
        <f>IF(N7="X",$Z7/$R7,0)</f>
        <v>1.25</v>
      </c>
      <c r="W7" s="90">
        <v>2</v>
      </c>
      <c r="X7" s="90">
        <v>5</v>
      </c>
      <c r="Y7" s="90">
        <v>3</v>
      </c>
      <c r="Z7" s="90">
        <v>5</v>
      </c>
      <c r="AA7" s="91">
        <f t="shared" ref="AA7" si="1">SUM(S7:V7)</f>
        <v>3.75</v>
      </c>
      <c r="AB7" s="159">
        <f>Q7*AA7</f>
        <v>7.5</v>
      </c>
      <c r="AC7" s="138" t="str">
        <f t="shared" ref="AC7" si="2">IF(AND(AB7&gt;0,AB7&lt;8),"BAJO",IF(AND(AB7&gt;=8,AB7&lt;14),"MEDIO",IF(AND(AB7&gt;=14,AB7&lt;20),"ALTO",IF(AND(AB7&gt;=20,AB7&lt;26),"EXTREMO",""))))</f>
        <v>BAJO</v>
      </c>
    </row>
    <row r="8" spans="2:39" ht="111.75" customHeight="1" x14ac:dyDescent="0.3">
      <c r="B8" s="74"/>
      <c r="C8" s="74" t="s">
        <v>553</v>
      </c>
      <c r="D8" s="74" t="s">
        <v>521</v>
      </c>
      <c r="E8" s="74">
        <f t="shared" si="0"/>
        <v>2</v>
      </c>
      <c r="F8" s="74" t="s">
        <v>504</v>
      </c>
      <c r="G8" s="74" t="s">
        <v>530</v>
      </c>
      <c r="H8" s="92" t="str">
        <f>IFERROR(VLOOKUP($C8,Tablas1!$B$3:$C$22,2,0),"ERROR")</f>
        <v>LAFT16</v>
      </c>
      <c r="I8" s="93" t="str">
        <f>IFERROR(VLOOKUP(G8,Tablas1!$H$2:$I$14,2,0),"ERROR")</f>
        <v>FAC4</v>
      </c>
      <c r="J8" s="92" t="s">
        <v>519</v>
      </c>
      <c r="K8" s="76"/>
      <c r="L8" s="76" t="s">
        <v>200</v>
      </c>
      <c r="M8" s="76" t="s">
        <v>200</v>
      </c>
      <c r="N8" s="76" t="s">
        <v>200</v>
      </c>
      <c r="O8" s="74" t="s">
        <v>520</v>
      </c>
      <c r="P8" s="75" t="str">
        <f>VLOOKUP(CONCATENATE(IF(K8="X",1,0),IF(L8="X",2,0),IF(M8="X",3,0),IF(N8="X",4,0)),Puntuaciones!$I$15:$N$67,6,0)</f>
        <v>Mayor exposición de la Lotería al riesgo de LA/FT/FPADM.
Deterioro de los procesos operativos.
Pérdida de reputación.
Procesos judiciales, disciplinarios y/o legales.
Sanciones del supervisor, regulador y/o entes de control.
Pérdida de mercado.</v>
      </c>
      <c r="Q8" s="73">
        <v>3</v>
      </c>
      <c r="R8" s="75">
        <f t="shared" ref="R8" si="3">COUNTIF(K8:N8,"X")</f>
        <v>3</v>
      </c>
      <c r="S8" s="81">
        <f t="shared" ref="S8" si="4">IF(K8="X",$W8/$R8,0)</f>
        <v>0</v>
      </c>
      <c r="T8" s="81">
        <f t="shared" ref="T8" si="5">IF(L8="X",$X8/$R8,0)</f>
        <v>1.6666666666666667</v>
      </c>
      <c r="U8" s="81">
        <f t="shared" ref="U8" si="6">IF(M8="X",$Y8/$R8,0)</f>
        <v>1.3333333333333333</v>
      </c>
      <c r="V8" s="81">
        <f t="shared" ref="V8" si="7">IF(N8="X",$Z8/$R8,0)</f>
        <v>1</v>
      </c>
      <c r="W8" s="90">
        <v>1</v>
      </c>
      <c r="X8" s="90">
        <v>5</v>
      </c>
      <c r="Y8" s="90">
        <v>4</v>
      </c>
      <c r="Z8" s="90">
        <v>3</v>
      </c>
      <c r="AA8" s="91">
        <f t="shared" ref="AA8:AA16" si="8">SUM(S8:V8)</f>
        <v>4</v>
      </c>
      <c r="AB8" s="77">
        <f t="shared" ref="AB8:AB16" si="9">Q8*AA8</f>
        <v>12</v>
      </c>
      <c r="AC8" s="138" t="str">
        <f t="shared" ref="AC8:AC16" si="10">IF(AND(AB8&gt;0,AB8&lt;8),"BAJO",IF(AND(AB8&gt;=8,AB8&lt;14),"MEDIO",IF(AND(AB8&gt;=14,AB8&lt;20),"ALTO",IF(AND(AB8&gt;=20,AB8&lt;26),"EXTREMO",""))))</f>
        <v>MEDIO</v>
      </c>
    </row>
    <row r="9" spans="2:39" ht="111.75" customHeight="1" x14ac:dyDescent="0.3">
      <c r="B9" s="74"/>
      <c r="C9" s="74" t="s">
        <v>458</v>
      </c>
      <c r="D9" s="74" t="s">
        <v>512</v>
      </c>
      <c r="E9" s="74">
        <f t="shared" si="0"/>
        <v>3</v>
      </c>
      <c r="F9" s="74" t="s">
        <v>505</v>
      </c>
      <c r="G9" s="74" t="s">
        <v>435</v>
      </c>
      <c r="H9" s="92" t="str">
        <f>IFERROR(VLOOKUP($C9,Tablas1!$B$3:$C$22,2,0),"ERROR")</f>
        <v>LAFT2</v>
      </c>
      <c r="I9" s="93" t="str">
        <f>IFERROR(VLOOKUP(G9,Tablas1!$H$2:$I$14,2,0),"ERROR")</f>
        <v>FAC1</v>
      </c>
      <c r="J9" s="153" t="s">
        <v>601</v>
      </c>
      <c r="K9" s="76" t="s">
        <v>200</v>
      </c>
      <c r="L9" s="76" t="s">
        <v>200</v>
      </c>
      <c r="M9" s="76" t="s">
        <v>200</v>
      </c>
      <c r="N9" s="76" t="s">
        <v>200</v>
      </c>
      <c r="O9" s="139" t="s">
        <v>516</v>
      </c>
      <c r="P9" s="75" t="str">
        <f>VLOOKUP(CONCATENATE(IF(K9="X",1,0),IF(L9="X",2,0),IF(M9="X",3,0),IF(N9="X",4,0)),Puntuaciones!$I$15:$N$67,6,0)</f>
        <v>Mayor exposición de la Lotería al riesgo de LA/FT/FPADM.
Deterioro de los procesos operativos.
Pérdida de reputación.
Procesos judiciales, disciplinarios y/o legales.
Sanciones del supervisor, regulador y/o entes de control.
Pérdida de mercado.
Evento de contagio que afecte a la Lotería por el efecto rebote.</v>
      </c>
      <c r="Q9" s="73">
        <v>3</v>
      </c>
      <c r="R9" s="75">
        <f t="shared" ref="R9" si="11">COUNTIF(K9:N9,"X")</f>
        <v>4</v>
      </c>
      <c r="S9" s="81">
        <f t="shared" ref="S9" si="12">IF(K9="X",$W9/$R9,0)</f>
        <v>1</v>
      </c>
      <c r="T9" s="81">
        <f t="shared" ref="T9" si="13">IF(L9="X",$X9/$R9,0)</f>
        <v>0.5</v>
      </c>
      <c r="U9" s="81">
        <f t="shared" ref="U9" si="14">IF(M9="X",$Y9/$R9,0)</f>
        <v>1</v>
      </c>
      <c r="V9" s="81">
        <f t="shared" ref="V9" si="15">IF(N9="X",$Z9/$R9,0)</f>
        <v>0.75</v>
      </c>
      <c r="W9" s="90">
        <v>4</v>
      </c>
      <c r="X9" s="90">
        <v>2</v>
      </c>
      <c r="Y9" s="90">
        <v>4</v>
      </c>
      <c r="Z9" s="90">
        <v>3</v>
      </c>
      <c r="AA9" s="91">
        <f t="shared" si="8"/>
        <v>3.25</v>
      </c>
      <c r="AB9" s="77">
        <f t="shared" si="9"/>
        <v>9.75</v>
      </c>
      <c r="AC9" s="138" t="str">
        <f t="shared" si="10"/>
        <v>MEDIO</v>
      </c>
    </row>
    <row r="10" spans="2:39" ht="111.75" customHeight="1" x14ac:dyDescent="0.3">
      <c r="B10" s="74"/>
      <c r="C10" s="74" t="s">
        <v>458</v>
      </c>
      <c r="D10" s="74" t="s">
        <v>514</v>
      </c>
      <c r="E10" s="74">
        <f t="shared" si="0"/>
        <v>4</v>
      </c>
      <c r="F10" s="74" t="s">
        <v>506</v>
      </c>
      <c r="G10" s="74" t="s">
        <v>243</v>
      </c>
      <c r="H10" s="92" t="str">
        <f>IFERROR(VLOOKUP($C10,Tablas1!$B$3:$C$22,2,0),"ERROR")</f>
        <v>LAFT2</v>
      </c>
      <c r="I10" s="93" t="str">
        <f>IFERROR(VLOOKUP(G10,Tablas1!$H$2:$I$14,2,0),"ERROR")</f>
        <v>FAC2</v>
      </c>
      <c r="J10" s="153" t="s">
        <v>513</v>
      </c>
      <c r="K10" s="76" t="s">
        <v>200</v>
      </c>
      <c r="L10" s="76" t="s">
        <v>200</v>
      </c>
      <c r="M10" s="76" t="s">
        <v>200</v>
      </c>
      <c r="N10" s="76" t="s">
        <v>200</v>
      </c>
      <c r="O10" s="139" t="s">
        <v>515</v>
      </c>
      <c r="P10" s="75" t="str">
        <f>VLOOKUP(CONCATENATE(IF(K10="X",1,0),IF(L10="X",2,0),IF(M10="X",3,0),IF(N10="X",4,0)),Puntuaciones!$I$15:$N$67,6,0)</f>
        <v>Mayor exposición de la Lotería al riesgo de LA/FT/FPADM.
Deterioro de los procesos operativos.
Pérdida de reputación.
Procesos judiciales, disciplinarios y/o legales.
Sanciones del supervisor, regulador y/o entes de control.
Pérdida de mercado.
Evento de contagio que afecte a la Lotería por el efecto rebote.</v>
      </c>
      <c r="Q10" s="73">
        <v>2</v>
      </c>
      <c r="R10" s="75">
        <f t="shared" ref="R10" si="16">COUNTIF(K10:N10,"X")</f>
        <v>4</v>
      </c>
      <c r="S10" s="81">
        <f t="shared" ref="S10" si="17">IF(K10="X",$W10/$R10,0)</f>
        <v>0.75</v>
      </c>
      <c r="T10" s="81">
        <f t="shared" ref="T10" si="18">IF(L10="X",$X10/$R10,0)</f>
        <v>0.75</v>
      </c>
      <c r="U10" s="81">
        <f t="shared" ref="U10" si="19">IF(M10="X",$Y10/$R10,0)</f>
        <v>1</v>
      </c>
      <c r="V10" s="81">
        <f t="shared" ref="V10" si="20">IF(N10="X",$Z10/$R10,0)</f>
        <v>1</v>
      </c>
      <c r="W10" s="90">
        <v>3</v>
      </c>
      <c r="X10" s="90">
        <v>3</v>
      </c>
      <c r="Y10" s="90">
        <v>4</v>
      </c>
      <c r="Z10" s="90">
        <v>4</v>
      </c>
      <c r="AA10" s="91">
        <f t="shared" si="8"/>
        <v>3.5</v>
      </c>
      <c r="AB10" s="77">
        <f t="shared" si="9"/>
        <v>7</v>
      </c>
      <c r="AC10" s="138" t="str">
        <f t="shared" si="10"/>
        <v>BAJO</v>
      </c>
    </row>
    <row r="11" spans="2:39" ht="111.75" customHeight="1" x14ac:dyDescent="0.3">
      <c r="B11" s="74"/>
      <c r="C11" s="74" t="s">
        <v>458</v>
      </c>
      <c r="D11" s="74" t="s">
        <v>526</v>
      </c>
      <c r="E11" s="74">
        <f t="shared" ref="E11" si="21">ROW(C11)-6</f>
        <v>5</v>
      </c>
      <c r="F11" s="74" t="s">
        <v>586</v>
      </c>
      <c r="G11" s="74" t="s">
        <v>447</v>
      </c>
      <c r="H11" s="92" t="str">
        <f>IFERROR(VLOOKUP($C11,Tablas1!$B$3:$C$22,2,0),"ERROR")</f>
        <v>LAFT2</v>
      </c>
      <c r="I11" s="93" t="str">
        <f>IFERROR(VLOOKUP(G11,Tablas1!$H$2:$I$14,2,0),"ERROR")</f>
        <v>FAC12</v>
      </c>
      <c r="J11" s="92" t="s">
        <v>294</v>
      </c>
      <c r="K11" s="76" t="s">
        <v>200</v>
      </c>
      <c r="L11" s="76" t="s">
        <v>200</v>
      </c>
      <c r="M11" s="76" t="s">
        <v>200</v>
      </c>
      <c r="N11" s="76" t="s">
        <v>200</v>
      </c>
      <c r="O11" s="75" t="s">
        <v>527</v>
      </c>
      <c r="P11" s="75" t="str">
        <f>VLOOKUP(CONCATENATE(IF(K11="X",1,0),IF(L11="X",2,0),IF(M11="X",3,0),IF(N11="X",4,0)),Puntuaciones!$I$15:$N$67,6,0)</f>
        <v>Mayor exposición de la Lotería al riesgo de LA/FT/FPADM.
Deterioro de los procesos operativos.
Pérdida de reputación.
Procesos judiciales, disciplinarios y/o legales.
Sanciones del supervisor, regulador y/o entes de control.
Pérdida de mercado.
Evento de contagio que afecte a la Lotería por el efecto rebote.</v>
      </c>
      <c r="Q11" s="73">
        <v>3</v>
      </c>
      <c r="R11" s="75">
        <f t="shared" ref="R11" si="22">COUNTIF(K11:N11,"X")</f>
        <v>4</v>
      </c>
      <c r="S11" s="81">
        <f t="shared" ref="S11" si="23">IF(K11="X",$W11/$R11,0)</f>
        <v>0.75</v>
      </c>
      <c r="T11" s="81">
        <f t="shared" ref="T11" si="24">IF(L11="X",$X11/$R11,0)</f>
        <v>0.75</v>
      </c>
      <c r="U11" s="81">
        <f t="shared" ref="U11" si="25">IF(M11="X",$Y11/$R11,0)</f>
        <v>0.25</v>
      </c>
      <c r="V11" s="81">
        <f t="shared" ref="V11" si="26">IF(N11="X",$Z11/$R11,0)</f>
        <v>0.75</v>
      </c>
      <c r="W11" s="90">
        <v>3</v>
      </c>
      <c r="X11" s="90">
        <v>3</v>
      </c>
      <c r="Y11" s="90">
        <v>1</v>
      </c>
      <c r="Z11" s="90">
        <v>3</v>
      </c>
      <c r="AA11" s="91">
        <f t="shared" si="8"/>
        <v>2.5</v>
      </c>
      <c r="AB11" s="77">
        <f t="shared" si="9"/>
        <v>7.5</v>
      </c>
      <c r="AC11" s="138" t="str">
        <f t="shared" si="10"/>
        <v>BAJO</v>
      </c>
    </row>
    <row r="12" spans="2:39" ht="102.75" customHeight="1" x14ac:dyDescent="0.3">
      <c r="B12" s="74"/>
      <c r="C12" s="74" t="s">
        <v>553</v>
      </c>
      <c r="D12" s="74" t="s">
        <v>553</v>
      </c>
      <c r="E12" s="74">
        <f t="shared" ref="E12" si="27">ROW(C12)-6</f>
        <v>6</v>
      </c>
      <c r="F12" s="74" t="s">
        <v>561</v>
      </c>
      <c r="G12" s="74" t="s">
        <v>530</v>
      </c>
      <c r="H12" s="92" t="str">
        <f>IFERROR(VLOOKUP($C12,Tablas1!$B$3:$C$22,2,0),"ERROR")</f>
        <v>LAFT16</v>
      </c>
      <c r="I12" s="93" t="str">
        <f>IFERROR(VLOOKUP(G12,Tablas1!$H$2:$I$14,2,0),"ERROR")</f>
        <v>FAC4</v>
      </c>
      <c r="J12" s="92" t="s">
        <v>572</v>
      </c>
      <c r="K12" s="76" t="s">
        <v>200</v>
      </c>
      <c r="L12" s="76" t="s">
        <v>200</v>
      </c>
      <c r="M12" s="76" t="s">
        <v>200</v>
      </c>
      <c r="N12" s="76" t="s">
        <v>200</v>
      </c>
      <c r="O12" s="75" t="s">
        <v>528</v>
      </c>
      <c r="P12" s="75" t="str">
        <f>VLOOKUP(CONCATENATE(IF(K12="X",1,0),IF(L12="X",2,0),IF(M12="X",3,0),IF(N12="X",4,0)),Puntuaciones!$I$15:$N$67,6,0)</f>
        <v>Mayor exposición de la Lotería al riesgo de LA/FT/FPADM.
Deterioro de los procesos operativos.
Pérdida de reputación.
Procesos judiciales, disciplinarios y/o legales.
Sanciones del supervisor, regulador y/o entes de control.
Pérdida de mercado.
Evento de contagio que afecte a la Lotería por el efecto rebote.</v>
      </c>
      <c r="Q12" s="73">
        <v>2</v>
      </c>
      <c r="R12" s="75">
        <f t="shared" ref="R12" si="28">COUNTIF(K12:N12,"X")</f>
        <v>4</v>
      </c>
      <c r="S12" s="81">
        <f t="shared" ref="S12" si="29">IF(K12="X",$W12/$R12,0)</f>
        <v>0.5</v>
      </c>
      <c r="T12" s="81">
        <f t="shared" ref="T12" si="30">IF(L12="X",$X12/$R12,0)</f>
        <v>1</v>
      </c>
      <c r="U12" s="81">
        <f t="shared" ref="U12" si="31">IF(M12="X",$Y12/$R12,0)</f>
        <v>0.5</v>
      </c>
      <c r="V12" s="81">
        <f t="shared" ref="V12" si="32">IF(N12="X",$Z12/$R12,0)</f>
        <v>0.25</v>
      </c>
      <c r="W12" s="90">
        <v>2</v>
      </c>
      <c r="X12" s="90">
        <v>4</v>
      </c>
      <c r="Y12" s="90">
        <v>2</v>
      </c>
      <c r="Z12" s="90">
        <v>1</v>
      </c>
      <c r="AA12" s="91">
        <f t="shared" si="8"/>
        <v>2.25</v>
      </c>
      <c r="AB12" s="77">
        <f t="shared" si="9"/>
        <v>4.5</v>
      </c>
      <c r="AC12" s="138" t="str">
        <f t="shared" si="10"/>
        <v>BAJO</v>
      </c>
    </row>
    <row r="13" spans="2:39" ht="107.55" customHeight="1" x14ac:dyDescent="0.3">
      <c r="B13" s="74"/>
      <c r="C13" s="74" t="s">
        <v>567</v>
      </c>
      <c r="D13" s="74" t="s">
        <v>533</v>
      </c>
      <c r="E13" s="74">
        <f t="shared" ref="E13:E16" si="33">ROW(C13)-6</f>
        <v>7</v>
      </c>
      <c r="F13" s="74" t="s">
        <v>587</v>
      </c>
      <c r="G13" s="74" t="s">
        <v>530</v>
      </c>
      <c r="H13" s="92" t="str">
        <f>IFERROR(VLOOKUP($C13,Tablas1!$B$3:$C$22,2,0),"ERROR")</f>
        <v>LAFT19</v>
      </c>
      <c r="I13" s="93" t="str">
        <f>IFERROR(VLOOKUP(G13,Tablas1!$H$2:$I$14,2,0),"ERROR")</f>
        <v>FAC4</v>
      </c>
      <c r="J13" s="92" t="s">
        <v>573</v>
      </c>
      <c r="K13" s="76" t="s">
        <v>200</v>
      </c>
      <c r="L13" s="76" t="s">
        <v>200</v>
      </c>
      <c r="M13" s="76" t="s">
        <v>200</v>
      </c>
      <c r="N13" s="76" t="s">
        <v>200</v>
      </c>
      <c r="O13" s="74" t="s">
        <v>535</v>
      </c>
      <c r="P13" s="75" t="str">
        <f>VLOOKUP(CONCATENATE(IF(K13="X",1,0),IF(L13="X",2,0),IF(M13="X",3,0),IF(N13="X",4,0)),Puntuaciones!$I$15:$N$67,6,0)</f>
        <v>Mayor exposición de la Lotería al riesgo de LA/FT/FPADM.
Deterioro de los procesos operativos.
Pérdida de reputación.
Procesos judiciales, disciplinarios y/o legales.
Sanciones del supervisor, regulador y/o entes de control.
Pérdida de mercado.
Evento de contagio que afecte a la Lotería por el efecto rebote.</v>
      </c>
      <c r="Q13" s="73">
        <v>1</v>
      </c>
      <c r="R13" s="75">
        <f t="shared" ref="R13" si="34">COUNTIF(K13:N13,"X")</f>
        <v>4</v>
      </c>
      <c r="S13" s="81">
        <f t="shared" ref="S13" si="35">IF(K13="X",$W13/$R13,0)</f>
        <v>1</v>
      </c>
      <c r="T13" s="81">
        <f t="shared" ref="T13" si="36">IF(L13="X",$X13/$R13,0)</f>
        <v>0.5</v>
      </c>
      <c r="U13" s="81">
        <f t="shared" ref="U13" si="37">IF(M13="X",$Y13/$R13,0)</f>
        <v>1.25</v>
      </c>
      <c r="V13" s="81">
        <f t="shared" ref="V13" si="38">IF(N13="X",$Z13/$R13,0)</f>
        <v>0.25</v>
      </c>
      <c r="W13" s="90">
        <v>4</v>
      </c>
      <c r="X13" s="90">
        <v>2</v>
      </c>
      <c r="Y13" s="90">
        <v>5</v>
      </c>
      <c r="Z13" s="90">
        <v>1</v>
      </c>
      <c r="AA13" s="91">
        <f t="shared" si="8"/>
        <v>3</v>
      </c>
      <c r="AB13" s="77">
        <f t="shared" si="9"/>
        <v>3</v>
      </c>
      <c r="AC13" s="138" t="str">
        <f t="shared" si="10"/>
        <v>BAJO</v>
      </c>
    </row>
    <row r="14" spans="2:39" ht="100.5" customHeight="1" x14ac:dyDescent="0.3">
      <c r="B14" s="74"/>
      <c r="C14" s="74" t="s">
        <v>451</v>
      </c>
      <c r="D14" s="74" t="s">
        <v>538</v>
      </c>
      <c r="E14" s="74">
        <f t="shared" si="33"/>
        <v>8</v>
      </c>
      <c r="F14" s="74" t="s">
        <v>588</v>
      </c>
      <c r="G14" s="74" t="s">
        <v>530</v>
      </c>
      <c r="H14" s="92" t="str">
        <f>IFERROR(VLOOKUP($C14,Tablas1!$B$3:$C$22,2,0),"ERROR")</f>
        <v>LAFT13</v>
      </c>
      <c r="I14" s="93" t="str">
        <f>IFERROR(VLOOKUP(G14,Tablas1!$H$2:$I$14,2,0),"ERROR")</f>
        <v>FAC4</v>
      </c>
      <c r="J14" s="92" t="s">
        <v>579</v>
      </c>
      <c r="K14" s="76"/>
      <c r="L14" s="76" t="s">
        <v>200</v>
      </c>
      <c r="M14" s="76" t="s">
        <v>200</v>
      </c>
      <c r="N14" s="76" t="s">
        <v>200</v>
      </c>
      <c r="O14" s="74" t="s">
        <v>539</v>
      </c>
      <c r="P14" s="75" t="str">
        <f>VLOOKUP(CONCATENATE(IF(K14="X",1,0),IF(L14="X",2,0),IF(M14="X",3,0),IF(N14="X",4,0)),Puntuaciones!$I$15:$N$67,6,0)</f>
        <v>Mayor exposición de la Lotería al riesgo de LA/FT/FPADM.
Deterioro de los procesos operativos.
Pérdida de reputación.
Procesos judiciales, disciplinarios y/o legales.
Sanciones del supervisor, regulador y/o entes de control.
Pérdida de mercado.</v>
      </c>
      <c r="Q14" s="73">
        <v>2</v>
      </c>
      <c r="R14" s="75">
        <f t="shared" ref="R14" si="39">COUNTIF(K14:N14,"X")</f>
        <v>3</v>
      </c>
      <c r="S14" s="81">
        <f t="shared" ref="S14" si="40">IF(K14="X",$W14/$R14,0)</f>
        <v>0</v>
      </c>
      <c r="T14" s="81">
        <f t="shared" ref="T14" si="41">IF(L14="X",$X14/$R14,0)</f>
        <v>1.3333333333333333</v>
      </c>
      <c r="U14" s="81">
        <f t="shared" ref="U14" si="42">IF(M14="X",$Y14/$R14,0)</f>
        <v>1</v>
      </c>
      <c r="V14" s="81">
        <f t="shared" ref="V14" si="43">IF(N14="X",$Z14/$R14,0)</f>
        <v>1</v>
      </c>
      <c r="W14" s="90">
        <v>1</v>
      </c>
      <c r="X14" s="90">
        <v>4</v>
      </c>
      <c r="Y14" s="90">
        <v>3</v>
      </c>
      <c r="Z14" s="90">
        <v>3</v>
      </c>
      <c r="AA14" s="91">
        <f t="shared" si="8"/>
        <v>3.333333333333333</v>
      </c>
      <c r="AB14" s="77">
        <f t="shared" si="9"/>
        <v>6.6666666666666661</v>
      </c>
      <c r="AC14" s="138" t="str">
        <f t="shared" si="10"/>
        <v>BAJO</v>
      </c>
    </row>
    <row r="15" spans="2:39" ht="105" customHeight="1" x14ac:dyDescent="0.3">
      <c r="B15" s="74"/>
      <c r="C15" s="74" t="s">
        <v>452</v>
      </c>
      <c r="D15" s="74" t="s">
        <v>452</v>
      </c>
      <c r="E15" s="74">
        <f t="shared" si="33"/>
        <v>9</v>
      </c>
      <c r="F15" s="74" t="s">
        <v>507</v>
      </c>
      <c r="G15" s="74" t="s">
        <v>243</v>
      </c>
      <c r="H15" s="92" t="str">
        <f>IFERROR(VLOOKUP($C15,Tablas1!$B$3:$C$22,2,0),"ERROR")</f>
        <v>LAFT7</v>
      </c>
      <c r="I15" s="93" t="str">
        <f>IFERROR(VLOOKUP(G15,Tablas1!$H$2:$I$14,2,0),"ERROR")</f>
        <v>FAC2</v>
      </c>
      <c r="J15" s="92" t="s">
        <v>574</v>
      </c>
      <c r="K15" s="76" t="s">
        <v>200</v>
      </c>
      <c r="L15" s="76" t="s">
        <v>200</v>
      </c>
      <c r="M15" s="76" t="s">
        <v>200</v>
      </c>
      <c r="N15" s="76" t="s">
        <v>200</v>
      </c>
      <c r="O15" s="75" t="s">
        <v>541</v>
      </c>
      <c r="P15" s="75" t="str">
        <f>VLOOKUP(CONCATENATE(IF(K15="X",1,0),IF(L15="X",2,0),IF(M15="X",3,0),IF(N15="X",4,0)),Puntuaciones!$I$15:$N$67,6,0)</f>
        <v>Mayor exposición de la Lotería al riesgo de LA/FT/FPADM.
Deterioro de los procesos operativos.
Pérdida de reputación.
Procesos judiciales, disciplinarios y/o legales.
Sanciones del supervisor, regulador y/o entes de control.
Pérdida de mercado.
Evento de contagio que afecte a la Lotería por el efecto rebote.</v>
      </c>
      <c r="Q15" s="73">
        <v>3</v>
      </c>
      <c r="R15" s="75">
        <f t="shared" ref="R15:R16" si="44">COUNTIF(K15:N15,"X")</f>
        <v>4</v>
      </c>
      <c r="S15" s="81">
        <f t="shared" ref="S15:S16" si="45">IF(K15="X",$W15/$R15,0)</f>
        <v>0.5</v>
      </c>
      <c r="T15" s="81">
        <f t="shared" ref="T15:T16" si="46">IF(L15="X",$X15/$R15,0)</f>
        <v>0.75</v>
      </c>
      <c r="U15" s="81">
        <f t="shared" ref="U15:U16" si="47">IF(M15="X",$Y15/$R15,0)</f>
        <v>1.25</v>
      </c>
      <c r="V15" s="81">
        <f t="shared" ref="V15:V16" si="48">IF(N15="X",$Z15/$R15,0)</f>
        <v>0.25</v>
      </c>
      <c r="W15" s="90">
        <v>2</v>
      </c>
      <c r="X15" s="90">
        <v>3</v>
      </c>
      <c r="Y15" s="90">
        <v>5</v>
      </c>
      <c r="Z15" s="90">
        <v>1</v>
      </c>
      <c r="AA15" s="91">
        <f t="shared" si="8"/>
        <v>2.75</v>
      </c>
      <c r="AB15" s="77">
        <f t="shared" si="9"/>
        <v>8.25</v>
      </c>
      <c r="AC15" s="138" t="str">
        <f t="shared" si="10"/>
        <v>MEDIO</v>
      </c>
    </row>
    <row r="16" spans="2:39" ht="107.1" customHeight="1" x14ac:dyDescent="0.3">
      <c r="B16" s="74"/>
      <c r="C16" s="74" t="s">
        <v>461</v>
      </c>
      <c r="D16" s="74" t="s">
        <v>544</v>
      </c>
      <c r="E16" s="74">
        <f t="shared" si="33"/>
        <v>10</v>
      </c>
      <c r="F16" s="74" t="s">
        <v>508</v>
      </c>
      <c r="G16" s="74" t="s">
        <v>242</v>
      </c>
      <c r="H16" s="92" t="str">
        <f>IFERROR(VLOOKUP($C16,Tablas1!$B$3:$C$22,2,0),"ERROR")</f>
        <v>LAFT12</v>
      </c>
      <c r="I16" s="93" t="str">
        <f>IFERROR(VLOOKUP(G16,Tablas1!$H$2:$I$14,2,0),"ERROR")</f>
        <v>FAC5</v>
      </c>
      <c r="J16" s="92" t="s">
        <v>571</v>
      </c>
      <c r="K16" s="76" t="s">
        <v>200</v>
      </c>
      <c r="L16" s="76" t="s">
        <v>200</v>
      </c>
      <c r="M16" s="76" t="s">
        <v>200</v>
      </c>
      <c r="N16" s="76" t="s">
        <v>200</v>
      </c>
      <c r="O16" s="74" t="s">
        <v>543</v>
      </c>
      <c r="P16" s="75" t="str">
        <f>VLOOKUP(CONCATENATE(IF(K16="X",1,0),IF(L16="X",2,0),IF(M16="X",3,0),IF(N16="X",4,0)),Puntuaciones!$I$15:$N$67,6,0)</f>
        <v>Mayor exposición de la Lotería al riesgo de LA/FT/FPADM.
Deterioro de los procesos operativos.
Pérdida de reputación.
Procesos judiciales, disciplinarios y/o legales.
Sanciones del supervisor, regulador y/o entes de control.
Pérdida de mercado.
Evento de contagio que afecte a la Lotería por el efecto rebote.</v>
      </c>
      <c r="Q16" s="73">
        <v>3</v>
      </c>
      <c r="R16" s="75">
        <f t="shared" si="44"/>
        <v>4</v>
      </c>
      <c r="S16" s="81">
        <f t="shared" si="45"/>
        <v>0.5</v>
      </c>
      <c r="T16" s="81">
        <f t="shared" si="46"/>
        <v>1</v>
      </c>
      <c r="U16" s="81">
        <f t="shared" si="47"/>
        <v>1</v>
      </c>
      <c r="V16" s="81">
        <f t="shared" si="48"/>
        <v>1</v>
      </c>
      <c r="W16" s="90">
        <v>2</v>
      </c>
      <c r="X16" s="90">
        <v>4</v>
      </c>
      <c r="Y16" s="90">
        <v>4</v>
      </c>
      <c r="Z16" s="90">
        <v>4</v>
      </c>
      <c r="AA16" s="91">
        <f t="shared" si="8"/>
        <v>3.5</v>
      </c>
      <c r="AB16" s="77">
        <f t="shared" si="9"/>
        <v>10.5</v>
      </c>
      <c r="AC16" s="138" t="str">
        <f t="shared" si="10"/>
        <v>MEDIO</v>
      </c>
    </row>
    <row r="17" spans="2:29" ht="110.1" customHeight="1" x14ac:dyDescent="0.3">
      <c r="B17" s="74"/>
      <c r="C17" s="74" t="s">
        <v>461</v>
      </c>
      <c r="D17" s="74" t="s">
        <v>429</v>
      </c>
      <c r="E17" s="74">
        <f t="shared" ref="E17" si="49">ROW(C17)-6</f>
        <v>11</v>
      </c>
      <c r="F17" s="74" t="s">
        <v>589</v>
      </c>
      <c r="G17" s="74" t="s">
        <v>242</v>
      </c>
      <c r="H17" s="92" t="str">
        <f>IFERROR(VLOOKUP($C17,Tablas1!$B$3:$C$22,2,0),"ERROR")</f>
        <v>LAFT12</v>
      </c>
      <c r="I17" s="93" t="str">
        <f>IFERROR(VLOOKUP(G17,Tablas1!$H$2:$I$14,2,0),"ERROR")</f>
        <v>FAC5</v>
      </c>
      <c r="J17" s="92" t="s">
        <v>575</v>
      </c>
      <c r="K17" s="76" t="s">
        <v>200</v>
      </c>
      <c r="L17" s="76" t="s">
        <v>200</v>
      </c>
      <c r="M17" s="76" t="s">
        <v>200</v>
      </c>
      <c r="N17" s="76" t="s">
        <v>200</v>
      </c>
      <c r="O17" s="74" t="s">
        <v>545</v>
      </c>
      <c r="P17" s="75" t="str">
        <f>VLOOKUP(CONCATENATE(IF(K17="X",1,0),IF(L17="X",2,0),IF(M17="X",3,0),IF(N17="X",4,0)),Puntuaciones!$I$15:$N$67,6,0)</f>
        <v>Mayor exposición de la Lotería al riesgo de LA/FT/FPADM.
Deterioro de los procesos operativos.
Pérdida de reputación.
Procesos judiciales, disciplinarios y/o legales.
Sanciones del supervisor, regulador y/o entes de control.
Pérdida de mercado.
Evento de contagio que afecte a la Lotería por el efecto rebote.</v>
      </c>
      <c r="Q17" s="73">
        <v>4</v>
      </c>
      <c r="R17" s="75">
        <f t="shared" ref="R17" si="50">COUNTIF(K17:N17,"X")</f>
        <v>4</v>
      </c>
      <c r="S17" s="81">
        <f t="shared" ref="S17" si="51">IF(K17="X",$W17/$R17,0)</f>
        <v>1.25</v>
      </c>
      <c r="T17" s="81">
        <f t="shared" ref="T17" si="52">IF(L17="X",$X17/$R17,0)</f>
        <v>0.5</v>
      </c>
      <c r="U17" s="81">
        <f t="shared" ref="U17" si="53">IF(M17="X",$Y17/$R17,0)</f>
        <v>1.25</v>
      </c>
      <c r="V17" s="81">
        <f t="shared" ref="V17" si="54">IF(N17="X",$Z17/$R17,0)</f>
        <v>0.5</v>
      </c>
      <c r="W17" s="90">
        <v>5</v>
      </c>
      <c r="X17" s="90">
        <v>2</v>
      </c>
      <c r="Y17" s="90">
        <v>5</v>
      </c>
      <c r="Z17" s="90">
        <v>2</v>
      </c>
      <c r="AA17" s="91">
        <f t="shared" ref="AA17" si="55">SUM(S17:V17)</f>
        <v>3.5</v>
      </c>
      <c r="AB17" s="77">
        <f t="shared" ref="AB17" si="56">Q17*AA17</f>
        <v>14</v>
      </c>
      <c r="AC17" s="138" t="str">
        <f t="shared" ref="AC17" si="57">IF(AND(AB17&gt;0,AB17&lt;8),"BAJO",IF(AND(AB17&gt;=8,AB17&lt;14),"MEDIO",IF(AND(AB17&gt;=14,AB17&lt;20),"ALTO",IF(AND(AB17&gt;=20,AB17&lt;26),"EXTREMO",""))))</f>
        <v>ALTO</v>
      </c>
    </row>
    <row r="18" spans="2:29" ht="105" customHeight="1" x14ac:dyDescent="0.3">
      <c r="B18" s="74"/>
      <c r="C18" s="74" t="s">
        <v>453</v>
      </c>
      <c r="D18" s="74" t="s">
        <v>549</v>
      </c>
      <c r="E18" s="74">
        <f t="shared" ref="E18" si="58">ROW(C18)-6</f>
        <v>12</v>
      </c>
      <c r="F18" s="74" t="s">
        <v>590</v>
      </c>
      <c r="G18" s="74" t="s">
        <v>242</v>
      </c>
      <c r="H18" s="92" t="str">
        <f>IFERROR(VLOOKUP($C18,Tablas1!$B$3:$C$22,2,0),"ERROR")</f>
        <v>LAFT5</v>
      </c>
      <c r="I18" s="93" t="str">
        <f>IFERROR(VLOOKUP(G18,Tablas1!$H$2:$I$14,2,0),"ERROR")</f>
        <v>FAC5</v>
      </c>
      <c r="J18" s="153" t="s">
        <v>570</v>
      </c>
      <c r="K18" s="76" t="s">
        <v>200</v>
      </c>
      <c r="L18" s="76" t="s">
        <v>200</v>
      </c>
      <c r="M18" s="76" t="s">
        <v>200</v>
      </c>
      <c r="N18" s="76" t="s">
        <v>200</v>
      </c>
      <c r="O18" s="139" t="s">
        <v>510</v>
      </c>
      <c r="P18" s="75" t="str">
        <f>VLOOKUP(CONCATENATE(IF(K18="X",1,0),IF(L18="X",2,0),IF(M18="X",3,0),IF(N18="X",4,0)),Puntuaciones!$I$15:$N$67,6,0)</f>
        <v>Mayor exposición de la Lotería al riesgo de LA/FT/FPADM.
Deterioro de los procesos operativos.
Pérdida de reputación.
Procesos judiciales, disciplinarios y/o legales.
Sanciones del supervisor, regulador y/o entes de control.
Pérdida de mercado.
Evento de contagio que afecte a la Lotería por el efecto rebote.</v>
      </c>
      <c r="Q18" s="73">
        <v>4</v>
      </c>
      <c r="R18" s="75">
        <f t="shared" ref="R18" si="59">COUNTIF(K18:N18,"X")</f>
        <v>4</v>
      </c>
      <c r="S18" s="81">
        <f t="shared" ref="S18" si="60">IF(K18="X",$W18/$R18,0)</f>
        <v>1</v>
      </c>
      <c r="T18" s="81">
        <f t="shared" ref="T18" si="61">IF(L18="X",$X18/$R18,0)</f>
        <v>1.25</v>
      </c>
      <c r="U18" s="81">
        <f t="shared" ref="U18" si="62">IF(M18="X",$Y18/$R18,0)</f>
        <v>1.25</v>
      </c>
      <c r="V18" s="81">
        <f t="shared" ref="V18" si="63">IF(N18="X",$Z18/$R18,0)</f>
        <v>1.25</v>
      </c>
      <c r="W18" s="90">
        <v>4</v>
      </c>
      <c r="X18" s="90">
        <v>5</v>
      </c>
      <c r="Y18" s="90">
        <v>5</v>
      </c>
      <c r="Z18" s="90">
        <v>5</v>
      </c>
      <c r="AA18" s="91">
        <f t="shared" ref="AA18" si="64">SUM(S18:V18)</f>
        <v>4.75</v>
      </c>
      <c r="AB18" s="77">
        <f t="shared" ref="AB18" si="65">Q18*AA18</f>
        <v>19</v>
      </c>
      <c r="AC18" s="138" t="str">
        <f t="shared" ref="AC18" si="66">IF(AND(AB18&gt;0,AB18&lt;8),"BAJO",IF(AND(AB18&gt;=8,AB18&lt;14),"MEDIO",IF(AND(AB18&gt;=14,AB18&lt;20),"ALTO",IF(AND(AB18&gt;=20,AB18&lt;26),"EXTREMO",""))))</f>
        <v>ALTO</v>
      </c>
    </row>
    <row r="19" spans="2:29" ht="98.25" customHeight="1" x14ac:dyDescent="0.3">
      <c r="B19" s="74"/>
      <c r="C19" s="74" t="s">
        <v>553</v>
      </c>
      <c r="D19" s="74" t="s">
        <v>554</v>
      </c>
      <c r="E19" s="74">
        <f t="shared" ref="E19:E20" si="67">ROW(C19)-6</f>
        <v>13</v>
      </c>
      <c r="F19" s="74" t="s">
        <v>591</v>
      </c>
      <c r="G19" s="74" t="s">
        <v>563</v>
      </c>
      <c r="H19" s="92" t="str">
        <f>IFERROR(VLOOKUP($C19,Tablas1!$B$3:$C$22,2,0),"ERROR")</f>
        <v>LAFT16</v>
      </c>
      <c r="I19" s="93" t="str">
        <f>IFERROR(VLOOKUP(G19,Tablas1!$H$2:$I$14,2,0),"ERROR")</f>
        <v>FAC6</v>
      </c>
      <c r="J19" s="92" t="s">
        <v>569</v>
      </c>
      <c r="K19" s="76" t="s">
        <v>200</v>
      </c>
      <c r="L19" s="76" t="s">
        <v>200</v>
      </c>
      <c r="M19" s="76" t="s">
        <v>200</v>
      </c>
      <c r="N19" s="76" t="s">
        <v>200</v>
      </c>
      <c r="O19" s="74" t="s">
        <v>535</v>
      </c>
      <c r="P19" s="75" t="str">
        <f>VLOOKUP(CONCATENATE(IF(K19="X",1,0),IF(L19="X",2,0),IF(M19="X",3,0),IF(N19="X",4,0)),Puntuaciones!$I$15:$N$67,6,0)</f>
        <v>Mayor exposición de la Lotería al riesgo de LA/FT/FPADM.
Deterioro de los procesos operativos.
Pérdida de reputación.
Procesos judiciales, disciplinarios y/o legales.
Sanciones del supervisor, regulador y/o entes de control.
Pérdida de mercado.
Evento de contagio que afecte a la Lotería por el efecto rebote.</v>
      </c>
      <c r="Q19" s="73">
        <v>1</v>
      </c>
      <c r="R19" s="75">
        <f t="shared" ref="R19" si="68">COUNTIF(K19:N19,"X")</f>
        <v>4</v>
      </c>
      <c r="S19" s="81">
        <f t="shared" ref="S19" si="69">IF(K19="X",$W19/$R19,0)</f>
        <v>1</v>
      </c>
      <c r="T19" s="81">
        <f t="shared" ref="T19" si="70">IF(L19="X",$X19/$R19,0)</f>
        <v>0.5</v>
      </c>
      <c r="U19" s="81">
        <f t="shared" ref="U19" si="71">IF(M19="X",$Y19/$R19,0)</f>
        <v>1.25</v>
      </c>
      <c r="V19" s="81">
        <f t="shared" ref="V19" si="72">IF(N19="X",$Z19/$R19,0)</f>
        <v>0.25</v>
      </c>
      <c r="W19" s="90">
        <v>4</v>
      </c>
      <c r="X19" s="90">
        <v>2</v>
      </c>
      <c r="Y19" s="90">
        <v>5</v>
      </c>
      <c r="Z19" s="90">
        <v>1</v>
      </c>
      <c r="AA19" s="91">
        <f t="shared" ref="AA19:AA20" si="73">SUM(S19:V19)</f>
        <v>3</v>
      </c>
      <c r="AB19" s="77">
        <f t="shared" ref="AB19:AB20" si="74">Q19*AA19</f>
        <v>3</v>
      </c>
      <c r="AC19" s="138" t="str">
        <f t="shared" ref="AC19:AC20" si="75">IF(AND(AB19&gt;0,AB19&lt;8),"BAJO",IF(AND(AB19&gt;=8,AB19&lt;14),"MEDIO",IF(AND(AB19&gt;=14,AB19&lt;20),"ALTO",IF(AND(AB19&gt;=20,AB19&lt;26),"EXTREMO",""))))</f>
        <v>BAJO</v>
      </c>
    </row>
    <row r="20" spans="2:29" ht="105.6" customHeight="1" x14ac:dyDescent="0.3">
      <c r="B20" s="74"/>
      <c r="C20" s="74" t="s">
        <v>559</v>
      </c>
      <c r="D20" s="74" t="s">
        <v>554</v>
      </c>
      <c r="E20" s="74">
        <f t="shared" si="67"/>
        <v>14</v>
      </c>
      <c r="F20" s="74" t="s">
        <v>592</v>
      </c>
      <c r="G20" s="74" t="s">
        <v>563</v>
      </c>
      <c r="H20" s="92" t="str">
        <f>IFERROR(VLOOKUP($C20,Tablas1!$B$3:$C$22,2,0),"ERROR")</f>
        <v>LAFT18</v>
      </c>
      <c r="I20" s="93" t="str">
        <f>IFERROR(VLOOKUP(G20,Tablas1!$H$2:$I$14,2,0),"ERROR")</f>
        <v>FAC6</v>
      </c>
      <c r="J20" s="92" t="s">
        <v>568</v>
      </c>
      <c r="K20" s="76" t="s">
        <v>200</v>
      </c>
      <c r="L20" s="76" t="s">
        <v>200</v>
      </c>
      <c r="M20" s="76" t="s">
        <v>200</v>
      </c>
      <c r="N20" s="76" t="s">
        <v>200</v>
      </c>
      <c r="O20" s="75" t="s">
        <v>548</v>
      </c>
      <c r="P20" s="75" t="str">
        <f>VLOOKUP(CONCATENATE(IF(K20="X",1,0),IF(L20="X",2,0),IF(M20="X",3,0),IF(N20="X",4,0)),Puntuaciones!$I$15:$N$67,6,0)</f>
        <v>Mayor exposición de la Lotería al riesgo de LA/FT/FPADM.
Deterioro de los procesos operativos.
Pérdida de reputación.
Procesos judiciales, disciplinarios y/o legales.
Sanciones del supervisor, regulador y/o entes de control.
Pérdida de mercado.
Evento de contagio que afecte a la Lotería por el efecto rebote.</v>
      </c>
      <c r="Q20" s="73">
        <v>5</v>
      </c>
      <c r="R20" s="75">
        <f t="shared" ref="R20" si="76">COUNTIF(K20:N20,"X")</f>
        <v>4</v>
      </c>
      <c r="S20" s="81">
        <f t="shared" ref="S20" si="77">IF(K20="X",$W20/$R20,0)</f>
        <v>1.25</v>
      </c>
      <c r="T20" s="81">
        <f t="shared" ref="T20" si="78">IF(L20="X",$X20/$R20,0)</f>
        <v>1.25</v>
      </c>
      <c r="U20" s="81">
        <f t="shared" ref="U20" si="79">IF(M20="X",$Y20/$R20,0)</f>
        <v>1</v>
      </c>
      <c r="V20" s="81">
        <f t="shared" ref="V20" si="80">IF(N20="X",$Z20/$R20,0)</f>
        <v>1</v>
      </c>
      <c r="W20" s="90">
        <v>5</v>
      </c>
      <c r="X20" s="90">
        <v>5</v>
      </c>
      <c r="Y20" s="90">
        <v>4</v>
      </c>
      <c r="Z20" s="90">
        <v>4</v>
      </c>
      <c r="AA20" s="91">
        <f t="shared" si="73"/>
        <v>4.5</v>
      </c>
      <c r="AB20" s="77">
        <f t="shared" si="74"/>
        <v>22.5</v>
      </c>
      <c r="AC20" s="138" t="str">
        <f t="shared" si="75"/>
        <v>EXTREMO</v>
      </c>
    </row>
    <row r="21" spans="2:29" ht="105.6" customHeight="1" x14ac:dyDescent="0.3">
      <c r="B21" s="74"/>
      <c r="C21" s="74" t="s">
        <v>559</v>
      </c>
      <c r="D21" s="74" t="s">
        <v>554</v>
      </c>
      <c r="E21" s="74">
        <f t="shared" ref="E21" si="81">ROW(C21)-6</f>
        <v>15</v>
      </c>
      <c r="F21" s="74" t="s">
        <v>635</v>
      </c>
      <c r="G21" s="74" t="s">
        <v>563</v>
      </c>
      <c r="H21" s="92" t="str">
        <f>IFERROR(VLOOKUP($C21,Tablas1!$B$3:$C$22,2,0),"ERROR")</f>
        <v>LAFT18</v>
      </c>
      <c r="I21" s="93" t="str">
        <f>IFERROR(VLOOKUP(G21,Tablas1!$H$2:$I$14,2,0),"ERROR")</f>
        <v>FAC6</v>
      </c>
      <c r="J21" s="92" t="s">
        <v>632</v>
      </c>
      <c r="K21" s="76" t="s">
        <v>200</v>
      </c>
      <c r="L21" s="76" t="s">
        <v>200</v>
      </c>
      <c r="M21" s="76" t="s">
        <v>200</v>
      </c>
      <c r="N21" s="76" t="s">
        <v>200</v>
      </c>
      <c r="O21" s="75" t="s">
        <v>548</v>
      </c>
      <c r="P21" s="75" t="str">
        <f>VLOOKUP(CONCATENATE(IF(K21="X",1,0),IF(L21="X",2,0),IF(M21="X",3,0),IF(N21="X",4,0)),Puntuaciones!$I$15:$N$67,6,0)</f>
        <v>Mayor exposición de la Lotería al riesgo de LA/FT/FPADM.
Deterioro de los procesos operativos.
Pérdida de reputación.
Procesos judiciales, disciplinarios y/o legales.
Sanciones del supervisor, regulador y/o entes de control.
Pérdida de mercado.
Evento de contagio que afecte a la Lotería por el efecto rebote.</v>
      </c>
      <c r="Q21" s="73">
        <v>3</v>
      </c>
      <c r="R21" s="75">
        <f t="shared" ref="R21" si="82">COUNTIF(K21:N21,"X")</f>
        <v>4</v>
      </c>
      <c r="S21" s="81">
        <f t="shared" ref="S21" si="83">IF(K21="X",$W21/$R21,0)</f>
        <v>0.5</v>
      </c>
      <c r="T21" s="81">
        <f t="shared" ref="T21" si="84">IF(L21="X",$X21/$R21,0)</f>
        <v>1.25</v>
      </c>
      <c r="U21" s="81">
        <f t="shared" ref="U21" si="85">IF(M21="X",$Y21/$R21,0)</f>
        <v>0.5</v>
      </c>
      <c r="V21" s="81">
        <f t="shared" ref="V21" si="86">IF(N21="X",$Z21/$R21,0)</f>
        <v>1.25</v>
      </c>
      <c r="W21" s="90">
        <v>2</v>
      </c>
      <c r="X21" s="90">
        <v>5</v>
      </c>
      <c r="Y21" s="90">
        <v>2</v>
      </c>
      <c r="Z21" s="90">
        <v>5</v>
      </c>
      <c r="AA21" s="91">
        <f t="shared" ref="AA21" si="87">SUM(S21:V21)</f>
        <v>3.5</v>
      </c>
      <c r="AB21" s="77">
        <f t="shared" ref="AB21" si="88">Q21*AA21</f>
        <v>10.5</v>
      </c>
      <c r="AC21" s="138" t="str">
        <f t="shared" ref="AC21" si="89">IF(AND(AB21&gt;0,AB21&lt;8),"BAJO",IF(AND(AB21&gt;=8,AB21&lt;14),"MEDIO",IF(AND(AB21&gt;=14,AB21&lt;20),"ALTO",IF(AND(AB21&gt;=20,AB21&lt;26),"EXTREMO",""))))</f>
        <v>MEDIO</v>
      </c>
    </row>
  </sheetData>
  <dataConsolidate/>
  <mergeCells count="24">
    <mergeCell ref="B5:B6"/>
    <mergeCell ref="B4:J4"/>
    <mergeCell ref="AA5:AA6"/>
    <mergeCell ref="S5:V5"/>
    <mergeCell ref="B3:AC3"/>
    <mergeCell ref="AB5:AB6"/>
    <mergeCell ref="R5:R6"/>
    <mergeCell ref="W5:Z5"/>
    <mergeCell ref="K4:P4"/>
    <mergeCell ref="K5:N5"/>
    <mergeCell ref="E5:E6"/>
    <mergeCell ref="G5:G6"/>
    <mergeCell ref="J5:J6"/>
    <mergeCell ref="AC5:AC6"/>
    <mergeCell ref="I5:I6"/>
    <mergeCell ref="D5:D6"/>
    <mergeCell ref="D2:AC2"/>
    <mergeCell ref="O5:O6"/>
    <mergeCell ref="C5:C6"/>
    <mergeCell ref="H5:H6"/>
    <mergeCell ref="P5:P6"/>
    <mergeCell ref="Q5:Q6"/>
    <mergeCell ref="Q4:AC4"/>
    <mergeCell ref="F5:F6"/>
  </mergeCells>
  <phoneticPr fontId="27" type="noConversion"/>
  <conditionalFormatting sqref="AC18:AC20 AC7:AC16">
    <cfRule type="cellIs" dxfId="206" priority="1395" operator="equal">
      <formula>"BAJO"</formula>
    </cfRule>
    <cfRule type="cellIs" dxfId="205" priority="1396" operator="equal">
      <formula>"MEDIO"</formula>
    </cfRule>
    <cfRule type="cellIs" dxfId="204" priority="1397" operator="equal">
      <formula>"EXTREMO"</formula>
    </cfRule>
    <cfRule type="cellIs" dxfId="203" priority="1398" operator="equal">
      <formula>"ALTO"</formula>
    </cfRule>
  </conditionalFormatting>
  <conditionalFormatting sqref="AC18:AC20 AC5:AC16">
    <cfRule type="cellIs" dxfId="202" priority="946" operator="equal">
      <formula>"BAJO"</formula>
    </cfRule>
    <cfRule type="cellIs" dxfId="201" priority="947" operator="equal">
      <formula>"MEDIO"</formula>
    </cfRule>
    <cfRule type="cellIs" dxfId="200" priority="948" operator="equal">
      <formula>"EXTREMO"</formula>
    </cfRule>
    <cfRule type="cellIs" dxfId="199" priority="949" operator="equal">
      <formula>"ALTO"</formula>
    </cfRule>
  </conditionalFormatting>
  <conditionalFormatting sqref="E9:E10">
    <cfRule type="duplicateValues" dxfId="198" priority="158"/>
  </conditionalFormatting>
  <conditionalFormatting sqref="AC17">
    <cfRule type="cellIs" dxfId="197" priority="13" operator="equal">
      <formula>"BAJO"</formula>
    </cfRule>
    <cfRule type="cellIs" dxfId="196" priority="14" operator="equal">
      <formula>"MEDIO"</formula>
    </cfRule>
    <cfRule type="cellIs" dxfId="195" priority="15" operator="equal">
      <formula>"EXTREMO"</formula>
    </cfRule>
    <cfRule type="cellIs" dxfId="194" priority="16" operator="equal">
      <formula>"ALTO"</formula>
    </cfRule>
  </conditionalFormatting>
  <conditionalFormatting sqref="AC17">
    <cfRule type="cellIs" dxfId="193" priority="9" operator="equal">
      <formula>"BAJO"</formula>
    </cfRule>
    <cfRule type="cellIs" dxfId="192" priority="10" operator="equal">
      <formula>"MEDIO"</formula>
    </cfRule>
    <cfRule type="cellIs" dxfId="191" priority="11" operator="equal">
      <formula>"EXTREMO"</formula>
    </cfRule>
    <cfRule type="cellIs" dxfId="190" priority="12" operator="equal">
      <formula>"ALTO"</formula>
    </cfRule>
  </conditionalFormatting>
  <conditionalFormatting sqref="AC21">
    <cfRule type="cellIs" dxfId="189" priority="5" operator="equal">
      <formula>"BAJO"</formula>
    </cfRule>
    <cfRule type="cellIs" dxfId="188" priority="6" operator="equal">
      <formula>"MEDIO"</formula>
    </cfRule>
    <cfRule type="cellIs" dxfId="187" priority="7" operator="equal">
      <formula>"EXTREMO"</formula>
    </cfRule>
    <cfRule type="cellIs" dxfId="186" priority="8" operator="equal">
      <formula>"ALTO"</formula>
    </cfRule>
  </conditionalFormatting>
  <conditionalFormatting sqref="AC21">
    <cfRule type="cellIs" dxfId="185" priority="1" operator="equal">
      <formula>"BAJO"</formula>
    </cfRule>
    <cfRule type="cellIs" dxfId="184" priority="2" operator="equal">
      <formula>"MEDIO"</formula>
    </cfRule>
    <cfRule type="cellIs" dxfId="183" priority="3" operator="equal">
      <formula>"EXTREMO"</formula>
    </cfRule>
    <cfRule type="cellIs" dxfId="182" priority="4" operator="equal">
      <formula>"ALTO"</formula>
    </cfRule>
  </conditionalFormatting>
  <dataValidations xWindow="1060" yWindow="328" count="8">
    <dataValidation type="list" allowBlank="1" showInputMessage="1" showErrorMessage="1" sqref="AB22:AC1048576 Q7:Q21">
      <formula1>"1,2,3,4,5"</formula1>
    </dataValidation>
    <dataValidation type="list" allowBlank="1" showInputMessage="1" showErrorMessage="1" sqref="D22:D1048576">
      <formula1>$E$3:$E$6</formula1>
    </dataValidation>
    <dataValidation type="list" allowBlank="1" showInputMessage="1" showErrorMessage="1" sqref="C22:C1048576">
      <formula1>$C$3:$C$6</formula1>
    </dataValidation>
    <dataValidation type="list" operator="greaterThanOrEqual" allowBlank="1" showInputMessage="1" showErrorMessage="1" sqref="W22:AA1048576">
      <formula1>"0,1,2,3,4,5"</formula1>
    </dataValidation>
    <dataValidation type="list" operator="greaterThanOrEqual" allowBlank="1" showInputMessage="1" showErrorMessage="1" sqref="W7:Z21">
      <formula1>"1,2,3,4,5"</formula1>
    </dataValidation>
    <dataValidation type="list" allowBlank="1" showInputMessage="1" showErrorMessage="1" sqref="K7:N21">
      <formula1>"X"</formula1>
    </dataValidation>
    <dataValidation operator="greaterThanOrEqual" allowBlank="1" showInputMessage="1" showErrorMessage="1" sqref="AA7:AA21"/>
    <dataValidation type="list" allowBlank="1" showInputMessage="1" showErrorMessage="1" sqref="B7:B21">
      <formula1>"Alto,Medio,Bajo"</formula1>
    </dataValidation>
  </dataValidations>
  <pageMargins left="0.70866141732283472" right="0.70866141732283472" top="0.74803149606299213" bottom="0.74803149606299213" header="0.31496062992125984" footer="0.31496062992125984"/>
  <pageSetup orientation="landscape" r:id="rId1"/>
  <drawing r:id="rId2"/>
  <extLst>
    <ext xmlns:x14="http://schemas.microsoft.com/office/spreadsheetml/2009/9/main" uri="{CCE6A557-97BC-4b89-ADB6-D9C93CAAB3DF}">
      <x14:dataValidations xmlns:xm="http://schemas.microsoft.com/office/excel/2006/main" xWindow="1060" yWindow="328" count="6">
        <x14:dataValidation type="list" allowBlank="1" showInputMessage="1" showErrorMessage="1">
          <x14:formula1>
            <xm:f>Tablas1!$I$3:$I$12</xm:f>
          </x14:formula1>
          <xm:sqref>I22:I1048576</xm:sqref>
        </x14:dataValidation>
        <x14:dataValidation type="list" allowBlank="1" showInputMessage="1" showErrorMessage="1">
          <x14:formula1>
            <xm:f>Tablas1!$C$3:$C$22</xm:f>
          </x14:formula1>
          <xm:sqref>H22:H1048576</xm:sqref>
        </x14:dataValidation>
        <x14:dataValidation type="list" allowBlank="1" showInputMessage="1" showErrorMessage="1">
          <x14:formula1>
            <xm:f>Tablas1!$E$3:$E$27</xm:f>
          </x14:formula1>
          <xm:sqref>D7:D21</xm:sqref>
        </x14:dataValidation>
        <x14:dataValidation type="custom" allowBlank="1" showInputMessage="1" showErrorMessage="1">
          <x14:formula1>
            <xm:f>IFERROR(VLOOKUP(#REF!,Tablas1!$H$2:$I$12,2,0),"ERROR")</xm:f>
          </x14:formula1>
          <xm:sqref>I7:I21</xm:sqref>
        </x14:dataValidation>
        <x14:dataValidation type="list" allowBlank="1" showInputMessage="1" showErrorMessage="1">
          <x14:formula1>
            <xm:f>Tablas1!$H$3:$H$12</xm:f>
          </x14:formula1>
          <xm:sqref>G7:G1048576</xm:sqref>
        </x14:dataValidation>
        <x14:dataValidation type="list" allowBlank="1" showInputMessage="1" showErrorMessage="1">
          <x14:formula1>
            <xm:f>Tablas1!$B$3:$B$22</xm:f>
          </x14:formula1>
          <xm:sqref>C7:C21</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rgb="FF00B0F0"/>
  </sheetPr>
  <dimension ref="B1:AH89"/>
  <sheetViews>
    <sheetView zoomScale="85" zoomScaleNormal="85" zoomScalePageLayoutView="32" workbookViewId="0">
      <selection activeCell="I2" sqref="I2"/>
    </sheetView>
  </sheetViews>
  <sheetFormatPr baseColWidth="10" defaultColWidth="11.21875" defaultRowHeight="13.8" x14ac:dyDescent="0.3"/>
  <cols>
    <col min="1" max="1" width="2.21875" style="3" customWidth="1"/>
    <col min="2" max="2" width="14" style="3" customWidth="1"/>
    <col min="3" max="3" width="20.5546875" style="6" customWidth="1"/>
    <col min="4" max="4" width="22.21875" style="6" customWidth="1"/>
    <col min="5" max="7" width="17.21875" style="6" customWidth="1"/>
    <col min="8" max="8" width="14.77734375" style="6" customWidth="1"/>
    <col min="9" max="9" width="44" style="3" customWidth="1"/>
    <col min="10" max="13" width="4.77734375" style="2" customWidth="1"/>
    <col min="14" max="15" width="33.77734375" style="3" customWidth="1"/>
    <col min="16" max="16" width="5.77734375" style="3" customWidth="1"/>
    <col min="17" max="21" width="6.77734375" style="3" customWidth="1"/>
    <col min="22" max="22" width="8.21875" style="4" customWidth="1"/>
    <col min="23" max="23" width="16" style="4" customWidth="1"/>
    <col min="24" max="24" width="16.21875" style="4" customWidth="1"/>
    <col min="25" max="25" width="17.5546875" style="21" customWidth="1"/>
    <col min="26" max="26" width="26.77734375" style="21" customWidth="1"/>
    <col min="27" max="27" width="17.77734375" style="21" customWidth="1"/>
    <col min="28" max="28" width="38.77734375" style="23" customWidth="1"/>
    <col min="29" max="29" width="9" style="23" customWidth="1"/>
    <col min="30" max="30" width="27.77734375" style="21" bestFit="1" customWidth="1"/>
    <col min="31" max="31" width="17.21875" style="21" customWidth="1"/>
    <col min="32" max="32" width="18.21875" style="21" bestFit="1" customWidth="1"/>
    <col min="33" max="33" width="11.21875" style="21"/>
    <col min="34" max="34" width="27.77734375" style="3" bestFit="1" customWidth="1"/>
    <col min="35" max="36" width="15.21875" style="3" customWidth="1"/>
    <col min="37" max="16384" width="11.21875" style="3"/>
  </cols>
  <sheetData>
    <row r="1" spans="2:34" ht="43.5" customHeight="1" x14ac:dyDescent="0.3">
      <c r="B1" s="124" t="s">
        <v>238</v>
      </c>
      <c r="C1" s="124" t="s">
        <v>239</v>
      </c>
      <c r="D1" s="124" t="s">
        <v>48</v>
      </c>
      <c r="E1" s="124" t="s">
        <v>81</v>
      </c>
      <c r="F1" s="124" t="s">
        <v>7</v>
      </c>
      <c r="G1" s="124" t="s">
        <v>13</v>
      </c>
      <c r="H1" s="124" t="s">
        <v>168</v>
      </c>
      <c r="I1" s="124" t="s">
        <v>192</v>
      </c>
      <c r="J1" s="94" t="s">
        <v>47</v>
      </c>
      <c r="K1" s="94" t="s">
        <v>44</v>
      </c>
      <c r="L1" s="94" t="s">
        <v>46</v>
      </c>
      <c r="M1" s="94" t="s">
        <v>45</v>
      </c>
      <c r="N1" s="124" t="s">
        <v>0</v>
      </c>
      <c r="O1" s="124" t="s">
        <v>23</v>
      </c>
      <c r="P1" s="125" t="s">
        <v>21</v>
      </c>
      <c r="Q1" s="94" t="s">
        <v>47</v>
      </c>
      <c r="R1" s="94" t="s">
        <v>44</v>
      </c>
      <c r="S1" s="94" t="s">
        <v>46</v>
      </c>
      <c r="T1" s="94" t="s">
        <v>45</v>
      </c>
      <c r="U1" s="125" t="s">
        <v>85</v>
      </c>
      <c r="V1" s="125" t="s">
        <v>255</v>
      </c>
      <c r="W1" s="124" t="s">
        <v>43</v>
      </c>
      <c r="X1" s="124" t="s">
        <v>42</v>
      </c>
      <c r="AG1" s="30"/>
      <c r="AH1" s="21"/>
    </row>
    <row r="2" spans="2:34" ht="111.75" customHeight="1" x14ac:dyDescent="0.3">
      <c r="B2" s="74"/>
      <c r="C2" s="74" t="s">
        <v>52</v>
      </c>
      <c r="D2" s="74" t="s">
        <v>52</v>
      </c>
      <c r="E2" s="74">
        <f t="shared" ref="E2:E16" si="0">ROW(C2)-6</f>
        <v>-4</v>
      </c>
      <c r="F2" s="74" t="s">
        <v>242</v>
      </c>
      <c r="G2" s="92" t="str">
        <f>IFERROR(VLOOKUP($C2,Tablas1!$B$3:$C$22,2,0),"ERROR")</f>
        <v>ERROR</v>
      </c>
      <c r="H2" s="93" t="str">
        <f>IFERROR(VLOOKUP(F2,Tablas1!$H$2:$I$14,2,0),"ERROR")</f>
        <v>FAC5</v>
      </c>
      <c r="I2" s="75" t="s">
        <v>281</v>
      </c>
      <c r="J2" s="76" t="s">
        <v>200</v>
      </c>
      <c r="K2" s="76" t="s">
        <v>200</v>
      </c>
      <c r="L2" s="76" t="s">
        <v>200</v>
      </c>
      <c r="M2" s="76" t="s">
        <v>200</v>
      </c>
      <c r="N2" s="75" t="s">
        <v>282</v>
      </c>
      <c r="O2" s="75" t="str">
        <f>VLOOKUP(CONCATENATE(IF(J2="X",1,0),IF(K2="X",2,0),IF(L2="X",3,0),IF(M2="X",4,0)),Puntuaciones!$I$15:$N$67,6,0)</f>
        <v>Mayor exposición de la Lotería al riesgo de LA/FT/FPADM.
Deterioro de los procesos operativos.
Pérdida de reputación.
Procesos judiciales, disciplinarios y/o legales.
Sanciones del supervisor, regulador y/o entes de control.
Pérdida de mercado.
Evento de contagio que afecte a la Lotería por el efecto rebote.</v>
      </c>
      <c r="P2" s="73"/>
      <c r="Q2" s="90"/>
      <c r="R2" s="90"/>
      <c r="S2" s="90"/>
      <c r="T2" s="90"/>
      <c r="U2" s="91"/>
      <c r="V2" s="77"/>
      <c r="W2" s="78" t="str">
        <f t="shared" ref="W2:W54" si="1">IF(AND(V2&gt;0,V2&lt;8),"BAJO",IF(AND(V2&gt;=8,V2&lt;14),"MEDIO",IF(AND(V2&gt;=14,V2&lt;20),"ALTO",IF(AND(V2&gt;=20,V2&lt;26),"EXTREMO",""))))</f>
        <v/>
      </c>
      <c r="X2" s="79" t="str">
        <f t="shared" ref="X2:X22" si="2">IFERROR(VLOOKUP(W2,RIEGO,2,FALSE),"")</f>
        <v/>
      </c>
    </row>
    <row r="3" spans="2:34" ht="111.75" customHeight="1" x14ac:dyDescent="0.3">
      <c r="B3" s="74"/>
      <c r="C3" s="74" t="s">
        <v>52</v>
      </c>
      <c r="D3" s="74" t="s">
        <v>52</v>
      </c>
      <c r="E3" s="74">
        <f t="shared" si="0"/>
        <v>-3</v>
      </c>
      <c r="F3" s="74" t="s">
        <v>240</v>
      </c>
      <c r="G3" s="92" t="str">
        <f>IFERROR(VLOOKUP($C3,Tablas1!$B$3:$C$22,2,0),"ERROR")</f>
        <v>ERROR</v>
      </c>
      <c r="H3" s="93" t="str">
        <f>IFERROR(VLOOKUP(F3,Tablas1!$H$2:$I$14,2,0),"ERROR")</f>
        <v>ERROR</v>
      </c>
      <c r="I3" s="75" t="s">
        <v>281</v>
      </c>
      <c r="J3" s="76"/>
      <c r="K3" s="76" t="s">
        <v>200</v>
      </c>
      <c r="L3" s="76" t="s">
        <v>200</v>
      </c>
      <c r="M3" s="76" t="s">
        <v>200</v>
      </c>
      <c r="N3" s="75" t="s">
        <v>282</v>
      </c>
      <c r="O3" s="75" t="str">
        <f>VLOOKUP(CONCATENATE(IF(J3="X",1,0),IF(K3="X",2,0),IF(L3="X",3,0),IF(M3="X",4,0)),Puntuaciones!$I$15:$N$67,6,0)</f>
        <v>Mayor exposición de la Lotería al riesgo de LA/FT/FPADM.
Deterioro de los procesos operativos.
Pérdida de reputación.
Procesos judiciales, disciplinarios y/o legales.
Sanciones del supervisor, regulador y/o entes de control.
Pérdida de mercado.</v>
      </c>
      <c r="P3" s="73"/>
      <c r="Q3" s="90"/>
      <c r="R3" s="90"/>
      <c r="S3" s="90"/>
      <c r="T3" s="90"/>
      <c r="U3" s="91"/>
      <c r="V3" s="77"/>
      <c r="W3" s="78" t="str">
        <f t="shared" si="1"/>
        <v/>
      </c>
      <c r="X3" s="79" t="str">
        <f t="shared" si="2"/>
        <v/>
      </c>
    </row>
    <row r="4" spans="2:34" ht="111.75" customHeight="1" x14ac:dyDescent="0.3">
      <c r="B4" s="74"/>
      <c r="C4" s="74" t="s">
        <v>52</v>
      </c>
      <c r="D4" s="74" t="s">
        <v>52</v>
      </c>
      <c r="E4" s="74">
        <f t="shared" si="0"/>
        <v>-2</v>
      </c>
      <c r="F4" s="74" t="s">
        <v>284</v>
      </c>
      <c r="G4" s="92" t="str">
        <f>IFERROR(VLOOKUP($C4,Tablas1!$B$3:$C$22,2,0),"ERROR")</f>
        <v>ERROR</v>
      </c>
      <c r="H4" s="93" t="str">
        <f>IFERROR(VLOOKUP(F4,Tablas1!$H$2:$I$14,2,0),"ERROR")</f>
        <v>ERROR</v>
      </c>
      <c r="I4" s="75" t="s">
        <v>281</v>
      </c>
      <c r="J4" s="76"/>
      <c r="K4" s="76" t="s">
        <v>200</v>
      </c>
      <c r="L4" s="76" t="s">
        <v>200</v>
      </c>
      <c r="M4" s="76" t="s">
        <v>200</v>
      </c>
      <c r="N4" s="75" t="s">
        <v>282</v>
      </c>
      <c r="O4" s="75" t="str">
        <f>VLOOKUP(CONCATENATE(IF(J4="X",1,0),IF(K4="X",2,0),IF(L4="X",3,0),IF(M4="X",4,0)),Puntuaciones!$I$15:$N$67,6,0)</f>
        <v>Mayor exposición de la Lotería al riesgo de LA/FT/FPADM.
Deterioro de los procesos operativos.
Pérdida de reputación.
Procesos judiciales, disciplinarios y/o legales.
Sanciones del supervisor, regulador y/o entes de control.
Pérdida de mercado.</v>
      </c>
      <c r="P4" s="73"/>
      <c r="Q4" s="90"/>
      <c r="R4" s="90"/>
      <c r="S4" s="90"/>
      <c r="T4" s="90"/>
      <c r="U4" s="91"/>
      <c r="V4" s="77"/>
      <c r="W4" s="78" t="str">
        <f t="shared" si="1"/>
        <v/>
      </c>
      <c r="X4" s="79" t="str">
        <f t="shared" si="2"/>
        <v/>
      </c>
    </row>
    <row r="5" spans="2:34" ht="111.75" customHeight="1" x14ac:dyDescent="0.3">
      <c r="B5" s="74"/>
      <c r="C5" s="74" t="s">
        <v>52</v>
      </c>
      <c r="D5" s="74" t="s">
        <v>52</v>
      </c>
      <c r="E5" s="74">
        <f t="shared" si="0"/>
        <v>-1</v>
      </c>
      <c r="F5" s="74" t="s">
        <v>241</v>
      </c>
      <c r="G5" s="92" t="str">
        <f>IFERROR(VLOOKUP($C5,Tablas1!$B$3:$C$22,2,0),"ERROR")</f>
        <v>ERROR</v>
      </c>
      <c r="H5" s="93" t="str">
        <f>IFERROR(VLOOKUP(F5,Tablas1!$H$2:$I$14,2,0),"ERROR")</f>
        <v>ERROR</v>
      </c>
      <c r="I5" s="75" t="s">
        <v>281</v>
      </c>
      <c r="J5" s="76"/>
      <c r="K5" s="76" t="s">
        <v>200</v>
      </c>
      <c r="L5" s="76" t="s">
        <v>200</v>
      </c>
      <c r="M5" s="76" t="s">
        <v>200</v>
      </c>
      <c r="N5" s="75" t="s">
        <v>282</v>
      </c>
      <c r="O5" s="75" t="str">
        <f>VLOOKUP(CONCATENATE(IF(J5="X",1,0),IF(K5="X",2,0),IF(L5="X",3,0),IF(M5="X",4,0)),Puntuaciones!$I$15:$N$67,6,0)</f>
        <v>Mayor exposición de la Lotería al riesgo de LA/FT/FPADM.
Deterioro de los procesos operativos.
Pérdida de reputación.
Procesos judiciales, disciplinarios y/o legales.
Sanciones del supervisor, regulador y/o entes de control.
Pérdida de mercado.</v>
      </c>
      <c r="P5" s="73"/>
      <c r="Q5" s="90"/>
      <c r="R5" s="90"/>
      <c r="S5" s="90"/>
      <c r="T5" s="90"/>
      <c r="U5" s="91"/>
      <c r="V5" s="77"/>
      <c r="W5" s="78" t="str">
        <f t="shared" si="1"/>
        <v/>
      </c>
      <c r="X5" s="79" t="str">
        <f t="shared" si="2"/>
        <v/>
      </c>
    </row>
    <row r="6" spans="2:34" ht="111.75" customHeight="1" x14ac:dyDescent="0.3">
      <c r="B6" s="74"/>
      <c r="C6" s="74" t="s">
        <v>52</v>
      </c>
      <c r="D6" s="74" t="s">
        <v>258</v>
      </c>
      <c r="E6" s="74">
        <f t="shared" si="0"/>
        <v>0</v>
      </c>
      <c r="F6" s="74" t="s">
        <v>240</v>
      </c>
      <c r="G6" s="92" t="str">
        <f>IFERROR(VLOOKUP($C6,Tablas1!$B$3:$C$22,2,0),"ERROR")</f>
        <v>ERROR</v>
      </c>
      <c r="H6" s="93" t="str">
        <f>IFERROR(VLOOKUP(F6,Tablas1!$H$2:$I$14,2,0),"ERROR")</f>
        <v>ERROR</v>
      </c>
      <c r="I6" s="75" t="s">
        <v>321</v>
      </c>
      <c r="J6" s="76" t="s">
        <v>200</v>
      </c>
      <c r="K6" s="76" t="s">
        <v>200</v>
      </c>
      <c r="L6" s="76" t="s">
        <v>200</v>
      </c>
      <c r="M6" s="76" t="s">
        <v>200</v>
      </c>
      <c r="N6" s="75" t="s">
        <v>291</v>
      </c>
      <c r="O6" s="75" t="str">
        <f>VLOOKUP(CONCATENATE(IF(J6="X",1,0),IF(K6="X",2,0),IF(L6="X",3,0),IF(M6="X",4,0)),Puntuaciones!$I$15:$N$67,6,0)</f>
        <v>Mayor exposición de la Lotería al riesgo de LA/FT/FPADM.
Deterioro de los procesos operativos.
Pérdida de reputación.
Procesos judiciales, disciplinarios y/o legales.
Sanciones del supervisor, regulador y/o entes de control.
Pérdida de mercado.
Evento de contagio que afecte a la Lotería por el efecto rebote.</v>
      </c>
      <c r="P6" s="73"/>
      <c r="Q6" s="90"/>
      <c r="R6" s="90"/>
      <c r="S6" s="90"/>
      <c r="T6" s="90"/>
      <c r="U6" s="91"/>
      <c r="V6" s="77"/>
      <c r="W6" s="78" t="str">
        <f t="shared" si="1"/>
        <v/>
      </c>
      <c r="X6" s="79" t="str">
        <f t="shared" si="2"/>
        <v/>
      </c>
    </row>
    <row r="7" spans="2:34" ht="111.75" customHeight="1" x14ac:dyDescent="0.3">
      <c r="B7" s="74"/>
      <c r="C7" s="74" t="s">
        <v>52</v>
      </c>
      <c r="D7" s="74" t="s">
        <v>258</v>
      </c>
      <c r="E7" s="74">
        <f t="shared" si="0"/>
        <v>1</v>
      </c>
      <c r="F7" s="74" t="s">
        <v>9</v>
      </c>
      <c r="G7" s="92" t="str">
        <f>IFERROR(VLOOKUP($C7,Tablas1!$B$3:$C$22,2,0),"ERROR")</f>
        <v>ERROR</v>
      </c>
      <c r="H7" s="93" t="str">
        <f>IFERROR(VLOOKUP(F7,Tablas1!$H$2:$I$14,2,0),"ERROR")</f>
        <v>FAC3</v>
      </c>
      <c r="I7" s="92" t="s">
        <v>315</v>
      </c>
      <c r="J7" s="76"/>
      <c r="K7" s="76" t="s">
        <v>200</v>
      </c>
      <c r="L7" s="76" t="s">
        <v>200</v>
      </c>
      <c r="M7" s="76" t="s">
        <v>200</v>
      </c>
      <c r="N7" s="75" t="s">
        <v>317</v>
      </c>
      <c r="O7" s="75" t="str">
        <f>VLOOKUP(CONCATENATE(IF(J7="X",1,0),IF(K7="X",2,0),IF(L7="X",3,0),IF(M7="X",4,0)),Puntuaciones!$I$15:$N$67,6,0)</f>
        <v>Mayor exposición de la Lotería al riesgo de LA/FT/FPADM.
Deterioro de los procesos operativos.
Pérdida de reputación.
Procesos judiciales, disciplinarios y/o legales.
Sanciones del supervisor, regulador y/o entes de control.
Pérdida de mercado.</v>
      </c>
      <c r="P7" s="73"/>
      <c r="Q7" s="90"/>
      <c r="R7" s="90"/>
      <c r="S7" s="90"/>
      <c r="T7" s="90"/>
      <c r="U7" s="91"/>
      <c r="V7" s="77"/>
      <c r="W7" s="78"/>
      <c r="X7" s="79"/>
    </row>
    <row r="8" spans="2:34" ht="111.75" customHeight="1" x14ac:dyDescent="0.3">
      <c r="B8" s="74"/>
      <c r="C8" s="74" t="s">
        <v>52</v>
      </c>
      <c r="D8" s="74" t="s">
        <v>258</v>
      </c>
      <c r="E8" s="74">
        <f t="shared" si="0"/>
        <v>2</v>
      </c>
      <c r="F8" s="74" t="s">
        <v>359</v>
      </c>
      <c r="G8" s="92" t="str">
        <f>IFERROR(VLOOKUP($C8,Tablas1!$B$3:$C$22,2,0),"ERROR")</f>
        <v>ERROR</v>
      </c>
      <c r="H8" s="93" t="str">
        <f>IFERROR(VLOOKUP(F8,Tablas1!$H$2:$I$14,2,0),"ERROR")</f>
        <v>ERROR</v>
      </c>
      <c r="I8" s="92" t="s">
        <v>311</v>
      </c>
      <c r="J8" s="76"/>
      <c r="K8" s="76" t="s">
        <v>200</v>
      </c>
      <c r="L8" s="76" t="s">
        <v>200</v>
      </c>
      <c r="M8" s="76" t="s">
        <v>200</v>
      </c>
      <c r="N8" s="75" t="s">
        <v>312</v>
      </c>
      <c r="O8" s="75" t="str">
        <f>VLOOKUP(CONCATENATE(IF(J8="X",1,0),IF(K8="X",2,0),IF(L8="X",3,0),IF(M8="X",4,0)),Puntuaciones!$I$15:$N$67,6,0)</f>
        <v>Mayor exposición de la Lotería al riesgo de LA/FT/FPADM.
Deterioro de los procesos operativos.
Pérdida de reputación.
Procesos judiciales, disciplinarios y/o legales.
Sanciones del supervisor, regulador y/o entes de control.
Pérdida de mercado.</v>
      </c>
      <c r="P8" s="73"/>
      <c r="Q8" s="90"/>
      <c r="R8" s="90"/>
      <c r="S8" s="90"/>
      <c r="T8" s="90"/>
      <c r="U8" s="91"/>
      <c r="V8" s="77"/>
      <c r="W8" s="78"/>
      <c r="X8" s="79"/>
    </row>
    <row r="9" spans="2:34" ht="111.75" customHeight="1" x14ac:dyDescent="0.3">
      <c r="B9" s="74"/>
      <c r="C9" s="74" t="s">
        <v>52</v>
      </c>
      <c r="D9" s="74" t="s">
        <v>258</v>
      </c>
      <c r="E9" s="74">
        <f t="shared" si="0"/>
        <v>3</v>
      </c>
      <c r="F9" s="74" t="s">
        <v>243</v>
      </c>
      <c r="G9" s="92" t="str">
        <f>IFERROR(VLOOKUP($C9,Tablas1!$B$3:$C$22,2,0),"ERROR")</f>
        <v>ERROR</v>
      </c>
      <c r="H9" s="93" t="str">
        <f>IFERROR(VLOOKUP(F9,Tablas1!$H$2:$I$14,2,0),"ERROR")</f>
        <v>FAC2</v>
      </c>
      <c r="I9" s="92" t="s">
        <v>313</v>
      </c>
      <c r="J9" s="76"/>
      <c r="K9" s="76" t="s">
        <v>200</v>
      </c>
      <c r="L9" s="76" t="s">
        <v>200</v>
      </c>
      <c r="M9" s="76" t="s">
        <v>200</v>
      </c>
      <c r="N9" s="75" t="s">
        <v>314</v>
      </c>
      <c r="O9" s="75" t="str">
        <f>VLOOKUP(CONCATENATE(IF(J9="X",1,0),IF(K9="X",2,0),IF(L9="X",3,0),IF(M9="X",4,0)),Puntuaciones!$I$15:$N$67,6,0)</f>
        <v>Mayor exposición de la Lotería al riesgo de LA/FT/FPADM.
Deterioro de los procesos operativos.
Pérdida de reputación.
Procesos judiciales, disciplinarios y/o legales.
Sanciones del supervisor, regulador y/o entes de control.
Pérdida de mercado.</v>
      </c>
      <c r="P9" s="73"/>
      <c r="Q9" s="90"/>
      <c r="R9" s="90"/>
      <c r="S9" s="90"/>
      <c r="T9" s="90"/>
      <c r="U9" s="91"/>
      <c r="V9" s="77"/>
      <c r="W9" s="78"/>
      <c r="X9" s="79"/>
    </row>
    <row r="10" spans="2:34" ht="111.75" customHeight="1" x14ac:dyDescent="0.3">
      <c r="B10" s="74"/>
      <c r="C10" s="74" t="s">
        <v>52</v>
      </c>
      <c r="D10" s="74" t="s">
        <v>258</v>
      </c>
      <c r="E10" s="74">
        <f t="shared" si="0"/>
        <v>4</v>
      </c>
      <c r="F10" s="74" t="s">
        <v>240</v>
      </c>
      <c r="G10" s="92" t="str">
        <f>IFERROR(VLOOKUP($C10,Tablas1!$B$3:$C$22,2,0),"ERROR")</f>
        <v>ERROR</v>
      </c>
      <c r="H10" s="93" t="str">
        <f>IFERROR(VLOOKUP(F10,Tablas1!$H$2:$I$14,2,0),"ERROR")</f>
        <v>ERROR</v>
      </c>
      <c r="I10" s="75" t="s">
        <v>325</v>
      </c>
      <c r="J10" s="76" t="s">
        <v>200</v>
      </c>
      <c r="K10" s="76" t="s">
        <v>200</v>
      </c>
      <c r="L10" s="76" t="s">
        <v>200</v>
      </c>
      <c r="M10" s="76" t="s">
        <v>200</v>
      </c>
      <c r="N10" s="75" t="s">
        <v>291</v>
      </c>
      <c r="O10" s="75" t="str">
        <f>VLOOKUP(CONCATENATE(IF(J10="X",1,0),IF(K10="X",2,0),IF(L10="X",3,0),IF(M10="X",4,0)),Puntuaciones!$I$15:$N$67,6,0)</f>
        <v>Mayor exposición de la Lotería al riesgo de LA/FT/FPADM.
Deterioro de los procesos operativos.
Pérdida de reputación.
Procesos judiciales, disciplinarios y/o legales.
Sanciones del supervisor, regulador y/o entes de control.
Pérdida de mercado.
Evento de contagio que afecte a la Lotería por el efecto rebote.</v>
      </c>
      <c r="P10" s="73"/>
      <c r="Q10" s="90"/>
      <c r="R10" s="90"/>
      <c r="S10" s="90"/>
      <c r="T10" s="90"/>
      <c r="U10" s="91"/>
      <c r="V10" s="77"/>
      <c r="W10" s="78" t="str">
        <f t="shared" si="1"/>
        <v/>
      </c>
      <c r="X10" s="79" t="str">
        <f t="shared" si="2"/>
        <v/>
      </c>
    </row>
    <row r="11" spans="2:34" ht="111.75" customHeight="1" x14ac:dyDescent="0.3">
      <c r="B11" s="74"/>
      <c r="C11" s="74" t="s">
        <v>52</v>
      </c>
      <c r="D11" s="74" t="s">
        <v>258</v>
      </c>
      <c r="E11" s="74">
        <f t="shared" si="0"/>
        <v>5</v>
      </c>
      <c r="F11" s="74" t="s">
        <v>240</v>
      </c>
      <c r="G11" s="92" t="str">
        <f>IFERROR(VLOOKUP($C11,Tablas1!$B$3:$C$22,2,0),"ERROR")</f>
        <v>ERROR</v>
      </c>
      <c r="H11" s="93" t="str">
        <f>IFERROR(VLOOKUP(F11,Tablas1!$H$2:$I$14,2,0),"ERROR")</f>
        <v>ERROR</v>
      </c>
      <c r="I11" s="75" t="s">
        <v>287</v>
      </c>
      <c r="J11" s="76" t="s">
        <v>200</v>
      </c>
      <c r="K11" s="76" t="s">
        <v>200</v>
      </c>
      <c r="L11" s="76" t="s">
        <v>200</v>
      </c>
      <c r="M11" s="76" t="s">
        <v>200</v>
      </c>
      <c r="N11" s="75" t="s">
        <v>291</v>
      </c>
      <c r="O11" s="75" t="str">
        <f>VLOOKUP(CONCATENATE(IF(J11="X",1,0),IF(K11="X",2,0),IF(L11="X",3,0),IF(M11="X",4,0)),Puntuaciones!$I$15:$N$67,6,0)</f>
        <v>Mayor exposición de la Lotería al riesgo de LA/FT/FPADM.
Deterioro de los procesos operativos.
Pérdida de reputación.
Procesos judiciales, disciplinarios y/o legales.
Sanciones del supervisor, regulador y/o entes de control.
Pérdida de mercado.
Evento de contagio que afecte a la Lotería por el efecto rebote.</v>
      </c>
      <c r="P11" s="73"/>
      <c r="Q11" s="90"/>
      <c r="R11" s="90"/>
      <c r="S11" s="90"/>
      <c r="T11" s="90"/>
      <c r="U11" s="91"/>
      <c r="V11" s="77"/>
      <c r="W11" s="78" t="str">
        <f t="shared" si="1"/>
        <v/>
      </c>
      <c r="X11" s="79" t="str">
        <f t="shared" si="2"/>
        <v/>
      </c>
    </row>
    <row r="12" spans="2:34" s="23" customFormat="1" ht="111.75" customHeight="1" x14ac:dyDescent="0.3">
      <c r="B12" s="74"/>
      <c r="C12" s="74" t="s">
        <v>52</v>
      </c>
      <c r="D12" s="74" t="s">
        <v>258</v>
      </c>
      <c r="E12" s="74">
        <f t="shared" si="0"/>
        <v>6</v>
      </c>
      <c r="F12" s="74" t="s">
        <v>240</v>
      </c>
      <c r="G12" s="92" t="str">
        <f>IFERROR(VLOOKUP($C12,Tablas1!$B$3:$C$22,2,0),"ERROR")</f>
        <v>ERROR</v>
      </c>
      <c r="H12" s="93" t="str">
        <f>IFERROR(VLOOKUP(F12,Tablas1!$H$2:$I$14,2,0),"ERROR")</f>
        <v>ERROR</v>
      </c>
      <c r="I12" s="75" t="s">
        <v>338</v>
      </c>
      <c r="J12" s="76" t="s">
        <v>200</v>
      </c>
      <c r="K12" s="76" t="s">
        <v>200</v>
      </c>
      <c r="L12" s="76" t="s">
        <v>200</v>
      </c>
      <c r="M12" s="76" t="s">
        <v>200</v>
      </c>
      <c r="N12" s="75" t="s">
        <v>302</v>
      </c>
      <c r="O12" s="75" t="str">
        <f>VLOOKUP(CONCATENATE(IF(J12="X",1,0),IF(K12="X",2,0),IF(L12="X",3,0),IF(M12="X",4,0)),Puntuaciones!$I$15:$N$67,6,0)</f>
        <v>Mayor exposición de la Lotería al riesgo de LA/FT/FPADM.
Deterioro de los procesos operativos.
Pérdida de reputación.
Procesos judiciales, disciplinarios y/o legales.
Sanciones del supervisor, regulador y/o entes de control.
Pérdida de mercado.
Evento de contagio que afecte a la Lotería por el efecto rebote.</v>
      </c>
      <c r="P12" s="73"/>
      <c r="Q12" s="90"/>
      <c r="R12" s="90"/>
      <c r="S12" s="90"/>
      <c r="T12" s="90"/>
      <c r="U12" s="91"/>
      <c r="V12" s="77"/>
      <c r="W12" s="78"/>
      <c r="X12" s="79"/>
      <c r="Y12" s="21"/>
      <c r="Z12" s="21"/>
      <c r="AA12" s="21"/>
      <c r="AD12" s="21"/>
      <c r="AE12" s="21"/>
      <c r="AF12" s="21"/>
      <c r="AG12" s="21"/>
      <c r="AH12" s="3"/>
    </row>
    <row r="13" spans="2:34" s="23" customFormat="1" ht="111.75" customHeight="1" x14ac:dyDescent="0.3">
      <c r="B13" s="74"/>
      <c r="C13" s="74" t="s">
        <v>52</v>
      </c>
      <c r="D13" s="74" t="s">
        <v>258</v>
      </c>
      <c r="E13" s="74">
        <f t="shared" si="0"/>
        <v>7</v>
      </c>
      <c r="F13" s="74" t="s">
        <v>240</v>
      </c>
      <c r="G13" s="92" t="str">
        <f>IFERROR(VLOOKUP($C13,Tablas1!$B$3:$C$22,2,0),"ERROR")</f>
        <v>ERROR</v>
      </c>
      <c r="H13" s="93" t="str">
        <f>IFERROR(VLOOKUP(F13,Tablas1!$H$2:$I$14,2,0),"ERROR")</f>
        <v>ERROR</v>
      </c>
      <c r="I13" s="75" t="s">
        <v>339</v>
      </c>
      <c r="J13" s="76" t="s">
        <v>200</v>
      </c>
      <c r="K13" s="76" t="s">
        <v>200</v>
      </c>
      <c r="L13" s="76" t="s">
        <v>200</v>
      </c>
      <c r="M13" s="76" t="s">
        <v>200</v>
      </c>
      <c r="N13" s="75" t="s">
        <v>302</v>
      </c>
      <c r="O13" s="75" t="str">
        <f>VLOOKUP(CONCATENATE(IF(J13="X",1,0),IF(K13="X",2,0),IF(L13="X",3,0),IF(M13="X",4,0)),Puntuaciones!$I$15:$N$67,6,0)</f>
        <v>Mayor exposición de la Lotería al riesgo de LA/FT/FPADM.
Deterioro de los procesos operativos.
Pérdida de reputación.
Procesos judiciales, disciplinarios y/o legales.
Sanciones del supervisor, regulador y/o entes de control.
Pérdida de mercado.
Evento de contagio que afecte a la Lotería por el efecto rebote.</v>
      </c>
      <c r="P13" s="73"/>
      <c r="Q13" s="90"/>
      <c r="R13" s="90"/>
      <c r="S13" s="90"/>
      <c r="T13" s="90"/>
      <c r="U13" s="91"/>
      <c r="V13" s="77"/>
      <c r="W13" s="78"/>
      <c r="X13" s="79"/>
      <c r="Y13" s="21"/>
      <c r="Z13" s="21"/>
      <c r="AA13" s="21"/>
      <c r="AD13" s="21"/>
      <c r="AE13" s="21"/>
      <c r="AF13" s="21"/>
      <c r="AG13" s="21"/>
      <c r="AH13" s="3"/>
    </row>
    <row r="14" spans="2:34" s="23" customFormat="1" ht="108" customHeight="1" x14ac:dyDescent="0.3">
      <c r="B14" s="74"/>
      <c r="C14" s="74" t="s">
        <v>52</v>
      </c>
      <c r="D14" s="74" t="s">
        <v>258</v>
      </c>
      <c r="E14" s="74">
        <f t="shared" si="0"/>
        <v>8</v>
      </c>
      <c r="F14" s="74" t="s">
        <v>240</v>
      </c>
      <c r="G14" s="92" t="str">
        <f>IFERROR(VLOOKUP($C14,Tablas1!$B$3:$C$22,2,0),"ERROR")</f>
        <v>ERROR</v>
      </c>
      <c r="H14" s="93" t="str">
        <f>IFERROR(VLOOKUP(F14,Tablas1!$H$2:$I$14,2,0),"ERROR")</f>
        <v>ERROR</v>
      </c>
      <c r="I14" s="75" t="s">
        <v>384</v>
      </c>
      <c r="J14" s="76" t="s">
        <v>200</v>
      </c>
      <c r="K14" s="76" t="s">
        <v>200</v>
      </c>
      <c r="L14" s="76" t="s">
        <v>200</v>
      </c>
      <c r="M14" s="76" t="s">
        <v>200</v>
      </c>
      <c r="N14" s="75" t="s">
        <v>288</v>
      </c>
      <c r="O14" s="75" t="str">
        <f>VLOOKUP(CONCATENATE(IF(J14="X",1,0),IF(K14="X",2,0),IF(L14="X",3,0),IF(M14="X",4,0)),Puntuaciones!$I$15:$N$67,6,0)</f>
        <v>Mayor exposición de la Lotería al riesgo de LA/FT/FPADM.
Deterioro de los procesos operativos.
Pérdida de reputación.
Procesos judiciales, disciplinarios y/o legales.
Sanciones del supervisor, regulador y/o entes de control.
Pérdida de mercado.
Evento de contagio que afecte a la Lotería por el efecto rebote.</v>
      </c>
      <c r="P14" s="73"/>
      <c r="Q14" s="90"/>
      <c r="R14" s="90"/>
      <c r="S14" s="90"/>
      <c r="T14" s="90"/>
      <c r="U14" s="91"/>
      <c r="V14" s="77"/>
      <c r="W14" s="78" t="str">
        <f t="shared" si="1"/>
        <v/>
      </c>
      <c r="X14" s="79" t="str">
        <f t="shared" si="2"/>
        <v/>
      </c>
      <c r="Y14" s="21"/>
      <c r="Z14" s="21"/>
      <c r="AA14" s="21"/>
      <c r="AD14" s="21"/>
      <c r="AE14" s="21"/>
      <c r="AF14" s="21"/>
      <c r="AG14" s="21"/>
      <c r="AH14" s="3"/>
    </row>
    <row r="15" spans="2:34" s="23" customFormat="1" ht="78" customHeight="1" x14ac:dyDescent="0.3">
      <c r="B15" s="74"/>
      <c r="C15" s="74" t="s">
        <v>52</v>
      </c>
      <c r="D15" s="74" t="s">
        <v>258</v>
      </c>
      <c r="E15" s="74">
        <f t="shared" si="0"/>
        <v>9</v>
      </c>
      <c r="F15" s="74" t="s">
        <v>240</v>
      </c>
      <c r="G15" s="92" t="str">
        <f>IFERROR(VLOOKUP($C15,Tablas1!$B$3:$C$22,2,0),"ERROR")</f>
        <v>ERROR</v>
      </c>
      <c r="H15" s="93" t="str">
        <f>IFERROR(VLOOKUP(F15,Tablas1!$H$2:$I$14,2,0),"ERROR")</f>
        <v>ERROR</v>
      </c>
      <c r="I15" s="92" t="s">
        <v>289</v>
      </c>
      <c r="J15" s="76" t="s">
        <v>200</v>
      </c>
      <c r="K15" s="76" t="s">
        <v>200</v>
      </c>
      <c r="L15" s="76" t="s">
        <v>200</v>
      </c>
      <c r="M15" s="76" t="s">
        <v>200</v>
      </c>
      <c r="N15" s="75" t="s">
        <v>291</v>
      </c>
      <c r="O15" s="75" t="str">
        <f>VLOOKUP(CONCATENATE(IF(J15="X",1,0),IF(K15="X",2,0),IF(L15="X",3,0),IF(M15="X",4,0)),Puntuaciones!$I$15:$N$67,6,0)</f>
        <v>Mayor exposición de la Lotería al riesgo de LA/FT/FPADM.
Deterioro de los procesos operativos.
Pérdida de reputación.
Procesos judiciales, disciplinarios y/o legales.
Sanciones del supervisor, regulador y/o entes de control.
Pérdida de mercado.
Evento de contagio que afecte a la Lotería por el efecto rebote.</v>
      </c>
      <c r="P15" s="73"/>
      <c r="Q15" s="90"/>
      <c r="R15" s="90"/>
      <c r="S15" s="90"/>
      <c r="T15" s="90"/>
      <c r="U15" s="91"/>
      <c r="V15" s="77"/>
      <c r="W15" s="78" t="str">
        <f t="shared" si="1"/>
        <v/>
      </c>
      <c r="X15" s="79" t="str">
        <f t="shared" si="2"/>
        <v/>
      </c>
      <c r="Y15" s="21"/>
      <c r="Z15" s="21"/>
      <c r="AA15" s="21"/>
      <c r="AD15" s="21"/>
      <c r="AE15" s="21"/>
      <c r="AF15" s="21"/>
      <c r="AG15" s="21"/>
      <c r="AH15" s="3"/>
    </row>
    <row r="16" spans="2:34" s="23" customFormat="1" ht="115.5" customHeight="1" x14ac:dyDescent="0.3">
      <c r="B16" s="74"/>
      <c r="C16" s="74" t="s">
        <v>52</v>
      </c>
      <c r="D16" s="74" t="s">
        <v>258</v>
      </c>
      <c r="E16" s="74">
        <f t="shared" si="0"/>
        <v>10</v>
      </c>
      <c r="F16" s="74" t="s">
        <v>240</v>
      </c>
      <c r="G16" s="92" t="str">
        <f>IFERROR(VLOOKUP($C16,Tablas1!$B$3:$C$22,2,0),"ERROR")</f>
        <v>ERROR</v>
      </c>
      <c r="H16" s="93" t="str">
        <f>IFERROR(VLOOKUP(F16,Tablas1!$H$2:$I$14,2,0),"ERROR")</f>
        <v>ERROR</v>
      </c>
      <c r="I16" s="92" t="s">
        <v>385</v>
      </c>
      <c r="J16" s="76" t="s">
        <v>200</v>
      </c>
      <c r="K16" s="76" t="s">
        <v>200</v>
      </c>
      <c r="L16" s="76" t="s">
        <v>200</v>
      </c>
      <c r="M16" s="76" t="s">
        <v>200</v>
      </c>
      <c r="N16" s="75" t="s">
        <v>290</v>
      </c>
      <c r="O16" s="75" t="str">
        <f>VLOOKUP(CONCATENATE(IF(J16="X",1,0),IF(K16="X",2,0),IF(L16="X",3,0),IF(M16="X",4,0)),Puntuaciones!$I$15:$N$67,6,0)</f>
        <v>Mayor exposición de la Lotería al riesgo de LA/FT/FPADM.
Deterioro de los procesos operativos.
Pérdida de reputación.
Procesos judiciales, disciplinarios y/o legales.
Sanciones del supervisor, regulador y/o entes de control.
Pérdida de mercado.
Evento de contagio que afecte a la Lotería por el efecto rebote.</v>
      </c>
      <c r="P16" s="73"/>
      <c r="Q16" s="90"/>
      <c r="R16" s="90"/>
      <c r="S16" s="90"/>
      <c r="T16" s="90"/>
      <c r="U16" s="91"/>
      <c r="V16" s="77"/>
      <c r="W16" s="78" t="str">
        <f t="shared" si="1"/>
        <v/>
      </c>
      <c r="X16" s="79" t="str">
        <f t="shared" si="2"/>
        <v/>
      </c>
      <c r="Y16" s="21"/>
      <c r="Z16" s="21"/>
      <c r="AA16" s="21"/>
      <c r="AD16" s="21"/>
      <c r="AE16" s="21"/>
      <c r="AF16" s="21"/>
      <c r="AG16" s="21"/>
      <c r="AH16" s="3"/>
    </row>
    <row r="17" spans="2:34" s="23" customFormat="1" ht="84.75" customHeight="1" x14ac:dyDescent="0.3">
      <c r="B17" s="74"/>
      <c r="C17" s="74" t="s">
        <v>228</v>
      </c>
      <c r="D17" s="74" t="s">
        <v>257</v>
      </c>
      <c r="E17" s="74">
        <f>ROW(C17)-6</f>
        <v>11</v>
      </c>
      <c r="F17" s="74" t="s">
        <v>240</v>
      </c>
      <c r="G17" s="92" t="str">
        <f>IFERROR(VLOOKUP($C17,Tablas1!$B$3:$C$22,2,0),"ERROR")</f>
        <v>ERROR</v>
      </c>
      <c r="H17" s="93" t="str">
        <f>IFERROR(VLOOKUP(F17,Tablas1!$H$2:$I$14,2,0),"ERROR")</f>
        <v>ERROR</v>
      </c>
      <c r="I17" s="75" t="s">
        <v>286</v>
      </c>
      <c r="J17" s="76" t="s">
        <v>200</v>
      </c>
      <c r="K17" s="76" t="s">
        <v>200</v>
      </c>
      <c r="L17" s="76" t="s">
        <v>200</v>
      </c>
      <c r="M17" s="76" t="s">
        <v>200</v>
      </c>
      <c r="N17" s="75" t="s">
        <v>283</v>
      </c>
      <c r="O17" s="75" t="str">
        <f>VLOOKUP(CONCATENATE(IF(J17="X",1,0),IF(K17="X",2,0),IF(L17="X",3,0),IF(M17="X",4,0)),Puntuaciones!$I$15:$N$67,6,0)</f>
        <v>Mayor exposición de la Lotería al riesgo de LA/FT/FPADM.
Deterioro de los procesos operativos.
Pérdida de reputación.
Procesos judiciales, disciplinarios y/o legales.
Sanciones del supervisor, regulador y/o entes de control.
Pérdida de mercado.
Evento de contagio que afecte a la Lotería por el efecto rebote.</v>
      </c>
      <c r="P17" s="73"/>
      <c r="Q17" s="90"/>
      <c r="R17" s="90"/>
      <c r="S17" s="90"/>
      <c r="T17" s="90"/>
      <c r="U17" s="91"/>
      <c r="V17" s="77"/>
      <c r="W17" s="78" t="str">
        <f t="shared" si="1"/>
        <v/>
      </c>
      <c r="X17" s="79" t="str">
        <f t="shared" si="2"/>
        <v/>
      </c>
      <c r="Y17" s="21"/>
      <c r="Z17" s="29"/>
      <c r="AA17" s="53"/>
      <c r="AB17" s="53"/>
      <c r="AD17" s="21"/>
      <c r="AE17" s="21"/>
      <c r="AF17" s="21"/>
      <c r="AG17" s="21"/>
      <c r="AH17" s="3"/>
    </row>
    <row r="18" spans="2:34" s="23" customFormat="1" ht="90" customHeight="1" x14ac:dyDescent="0.3">
      <c r="B18" s="74"/>
      <c r="C18" s="74" t="s">
        <v>228</v>
      </c>
      <c r="D18" s="74" t="s">
        <v>257</v>
      </c>
      <c r="E18" s="74">
        <f>ROW(C18)-6</f>
        <v>12</v>
      </c>
      <c r="F18" s="74" t="s">
        <v>242</v>
      </c>
      <c r="G18" s="92" t="str">
        <f>IFERROR(VLOOKUP($C18,Tablas1!$B$3:$C$22,2,0),"ERROR")</f>
        <v>ERROR</v>
      </c>
      <c r="H18" s="93" t="str">
        <f>IFERROR(VLOOKUP(F18,Tablas1!$H$2:$I$14,2,0),"ERROR")</f>
        <v>FAC5</v>
      </c>
      <c r="I18" s="75" t="s">
        <v>292</v>
      </c>
      <c r="J18" s="76" t="s">
        <v>200</v>
      </c>
      <c r="K18" s="76" t="s">
        <v>200</v>
      </c>
      <c r="L18" s="76" t="s">
        <v>200</v>
      </c>
      <c r="M18" s="76" t="s">
        <v>200</v>
      </c>
      <c r="N18" s="75" t="s">
        <v>293</v>
      </c>
      <c r="O18" s="75" t="str">
        <f>VLOOKUP(CONCATENATE(IF(J18="X",1,0),IF(K18="X",2,0),IF(L18="X",3,0),IF(M18="X",4,0)),Puntuaciones!$I$15:$N$67,6,0)</f>
        <v>Mayor exposición de la Lotería al riesgo de LA/FT/FPADM.
Deterioro de los procesos operativos.
Pérdida de reputación.
Procesos judiciales, disciplinarios y/o legales.
Sanciones del supervisor, regulador y/o entes de control.
Pérdida de mercado.
Evento de contagio que afecte a la Lotería por el efecto rebote.</v>
      </c>
      <c r="P18" s="73"/>
      <c r="Q18" s="90"/>
      <c r="R18" s="90"/>
      <c r="S18" s="90"/>
      <c r="T18" s="90"/>
      <c r="U18" s="91"/>
      <c r="V18" s="77"/>
      <c r="W18" s="78" t="str">
        <f t="shared" si="1"/>
        <v/>
      </c>
      <c r="X18" s="79" t="str">
        <f t="shared" si="2"/>
        <v/>
      </c>
      <c r="Y18" s="21"/>
      <c r="Z18" s="57"/>
      <c r="AA18" s="21"/>
      <c r="AD18" s="21"/>
      <c r="AE18" s="21"/>
      <c r="AF18" s="21"/>
      <c r="AG18" s="21"/>
      <c r="AH18" s="3"/>
    </row>
    <row r="19" spans="2:34" s="23" customFormat="1" ht="94.5" customHeight="1" x14ac:dyDescent="0.3">
      <c r="B19" s="74"/>
      <c r="C19" s="74" t="s">
        <v>228</v>
      </c>
      <c r="D19" s="74" t="s">
        <v>257</v>
      </c>
      <c r="E19" s="74">
        <f t="shared" ref="E19:E82" si="3">ROW(C19)-6</f>
        <v>13</v>
      </c>
      <c r="F19" s="74" t="s">
        <v>242</v>
      </c>
      <c r="G19" s="92" t="str">
        <f>IFERROR(VLOOKUP($C19,Tablas1!$B$3:$C$22,2,0),"ERROR")</f>
        <v>ERROR</v>
      </c>
      <c r="H19" s="93" t="str">
        <f>IFERROR(VLOOKUP(F19,Tablas1!$H$2:$I$14,2,0),"ERROR")</f>
        <v>FAC5</v>
      </c>
      <c r="I19" s="92" t="s">
        <v>310</v>
      </c>
      <c r="J19" s="76" t="s">
        <v>200</v>
      </c>
      <c r="K19" s="76" t="s">
        <v>200</v>
      </c>
      <c r="L19" s="76" t="s">
        <v>200</v>
      </c>
      <c r="M19" s="76" t="s">
        <v>200</v>
      </c>
      <c r="N19" s="75" t="s">
        <v>295</v>
      </c>
      <c r="O19" s="75" t="str">
        <f>VLOOKUP(CONCATENATE(IF(J19="X",1,0),IF(K19="X",2,0),IF(L19="X",3,0),IF(M19="X",4,0)),Puntuaciones!$I$15:$N$67,6,0)</f>
        <v>Mayor exposición de la Lotería al riesgo de LA/FT/FPADM.
Deterioro de los procesos operativos.
Pérdida de reputación.
Procesos judiciales, disciplinarios y/o legales.
Sanciones del supervisor, regulador y/o entes de control.
Pérdida de mercado.
Evento de contagio que afecte a la Lotería por el efecto rebote.</v>
      </c>
      <c r="P19" s="73"/>
      <c r="Q19" s="90"/>
      <c r="R19" s="90"/>
      <c r="S19" s="90"/>
      <c r="T19" s="90"/>
      <c r="U19" s="91"/>
      <c r="V19" s="77"/>
      <c r="W19" s="78" t="str">
        <f t="shared" si="1"/>
        <v/>
      </c>
      <c r="X19" s="79" t="str">
        <f t="shared" si="2"/>
        <v/>
      </c>
      <c r="Y19" s="21"/>
      <c r="Z19" s="21"/>
      <c r="AA19" s="21"/>
      <c r="AD19" s="21"/>
      <c r="AE19" s="21"/>
      <c r="AF19" s="21"/>
      <c r="AG19" s="21"/>
      <c r="AH19" s="3"/>
    </row>
    <row r="20" spans="2:34" s="23" customFormat="1" ht="94.5" customHeight="1" x14ac:dyDescent="0.3">
      <c r="B20" s="74"/>
      <c r="C20" s="74" t="s">
        <v>228</v>
      </c>
      <c r="D20" s="74" t="s">
        <v>259</v>
      </c>
      <c r="E20" s="74">
        <f t="shared" si="3"/>
        <v>14</v>
      </c>
      <c r="F20" s="74" t="s">
        <v>242</v>
      </c>
      <c r="G20" s="92" t="str">
        <f>IFERROR(VLOOKUP($C20,Tablas1!$B$3:$C$22,2,0),"ERROR")</f>
        <v>ERROR</v>
      </c>
      <c r="H20" s="93" t="str">
        <f>IFERROR(VLOOKUP(F20,Tablas1!$H$2:$I$14,2,0),"ERROR")</f>
        <v>FAC5</v>
      </c>
      <c r="I20" s="92" t="s">
        <v>294</v>
      </c>
      <c r="J20" s="76" t="s">
        <v>200</v>
      </c>
      <c r="K20" s="76" t="s">
        <v>200</v>
      </c>
      <c r="L20" s="76" t="s">
        <v>200</v>
      </c>
      <c r="M20" s="76" t="s">
        <v>200</v>
      </c>
      <c r="N20" s="75" t="s">
        <v>295</v>
      </c>
      <c r="O20" s="75" t="str">
        <f>VLOOKUP(CONCATENATE(IF(J20="X",1,0),IF(K20="X",2,0),IF(L20="X",3,0),IF(M20="X",4,0)),Puntuaciones!$I$15:$N$67,6,0)</f>
        <v>Mayor exposición de la Lotería al riesgo de LA/FT/FPADM.
Deterioro de los procesos operativos.
Pérdida de reputación.
Procesos judiciales, disciplinarios y/o legales.
Sanciones del supervisor, regulador y/o entes de control.
Pérdida de mercado.
Evento de contagio que afecte a la Lotería por el efecto rebote.</v>
      </c>
      <c r="P20" s="73"/>
      <c r="Q20" s="90"/>
      <c r="R20" s="90"/>
      <c r="S20" s="90"/>
      <c r="T20" s="90"/>
      <c r="U20" s="91"/>
      <c r="V20" s="77"/>
      <c r="W20" s="78" t="str">
        <f t="shared" si="1"/>
        <v/>
      </c>
      <c r="X20" s="79" t="str">
        <f t="shared" si="2"/>
        <v/>
      </c>
      <c r="Y20" s="21"/>
      <c r="Z20" s="21"/>
      <c r="AA20" s="21"/>
      <c r="AD20" s="21"/>
      <c r="AE20" s="21"/>
      <c r="AF20" s="21"/>
      <c r="AG20" s="21"/>
      <c r="AH20" s="3"/>
    </row>
    <row r="21" spans="2:34" s="23" customFormat="1" ht="94.5" customHeight="1" x14ac:dyDescent="0.3">
      <c r="B21" s="74"/>
      <c r="C21" s="74" t="s">
        <v>228</v>
      </c>
      <c r="D21" s="74" t="s">
        <v>259</v>
      </c>
      <c r="E21" s="74">
        <f t="shared" si="3"/>
        <v>15</v>
      </c>
      <c r="F21" s="74" t="s">
        <v>242</v>
      </c>
      <c r="G21" s="92" t="str">
        <f>IFERROR(VLOOKUP($C21,Tablas1!$B$3:$C$22,2,0),"ERROR")</f>
        <v>ERROR</v>
      </c>
      <c r="H21" s="93" t="str">
        <f>IFERROR(VLOOKUP(F21,Tablas1!$H$2:$I$14,2,0),"ERROR")</f>
        <v>FAC5</v>
      </c>
      <c r="I21" s="92" t="s">
        <v>296</v>
      </c>
      <c r="J21" s="76"/>
      <c r="K21" s="76"/>
      <c r="L21" s="76" t="s">
        <v>200</v>
      </c>
      <c r="M21" s="76" t="s">
        <v>200</v>
      </c>
      <c r="N21" s="75" t="s">
        <v>297</v>
      </c>
      <c r="O21" s="75" t="str">
        <f>VLOOKUP(CONCATENATE(IF(J21="X",1,0),IF(K21="X",2,0),IF(L21="X",3,0),IF(M21="X",4,0)),Puntuaciones!$I$15:$N$67,6,0)</f>
        <v>Mayor exposición de la Lotería al riesgo de LA/FT/FPADM.
Pérdida de reputación.
Procesos judiciales, disciplinarios y/o legales.
Sanciones del supervisor, regulador y/o entes de control.</v>
      </c>
      <c r="P21" s="73"/>
      <c r="Q21" s="90"/>
      <c r="R21" s="90"/>
      <c r="S21" s="90"/>
      <c r="T21" s="90"/>
      <c r="U21" s="91"/>
      <c r="V21" s="77"/>
      <c r="W21" s="78" t="str">
        <f t="shared" si="1"/>
        <v/>
      </c>
      <c r="X21" s="79" t="str">
        <f t="shared" si="2"/>
        <v/>
      </c>
      <c r="Y21" s="21"/>
      <c r="Z21" s="21"/>
      <c r="AA21" s="21"/>
      <c r="AD21" s="21"/>
      <c r="AE21" s="21"/>
      <c r="AF21" s="21"/>
      <c r="AG21" s="21"/>
      <c r="AH21" s="3"/>
    </row>
    <row r="22" spans="2:34" s="23" customFormat="1" ht="94.5" customHeight="1" x14ac:dyDescent="0.3">
      <c r="B22" s="74"/>
      <c r="C22" s="74" t="s">
        <v>228</v>
      </c>
      <c r="D22" s="74" t="s">
        <v>257</v>
      </c>
      <c r="E22" s="74">
        <f t="shared" si="3"/>
        <v>16</v>
      </c>
      <c r="F22" s="74" t="s">
        <v>9</v>
      </c>
      <c r="G22" s="92" t="str">
        <f>IFERROR(VLOOKUP($C22,Tablas1!$B$3:$C$22,2,0),"ERROR")</f>
        <v>ERROR</v>
      </c>
      <c r="H22" s="93" t="str">
        <f>IFERROR(VLOOKUP(F22,Tablas1!$H$2:$I$14,2,0),"ERROR")</f>
        <v>FAC3</v>
      </c>
      <c r="I22" s="92" t="s">
        <v>298</v>
      </c>
      <c r="J22" s="76"/>
      <c r="K22" s="76" t="s">
        <v>200</v>
      </c>
      <c r="L22" s="76" t="s">
        <v>200</v>
      </c>
      <c r="M22" s="76" t="s">
        <v>200</v>
      </c>
      <c r="N22" s="75" t="s">
        <v>302</v>
      </c>
      <c r="O22" s="75" t="str">
        <f>VLOOKUP(CONCATENATE(IF(J22="X",1,0),IF(K22="X",2,0),IF(L22="X",3,0),IF(M22="X",4,0)),Puntuaciones!$I$15:$N$67,6,0)</f>
        <v>Mayor exposición de la Lotería al riesgo de LA/FT/FPADM.
Deterioro de los procesos operativos.
Pérdida de reputación.
Procesos judiciales, disciplinarios y/o legales.
Sanciones del supervisor, regulador y/o entes de control.
Pérdida de mercado.</v>
      </c>
      <c r="P22" s="73"/>
      <c r="Q22" s="90"/>
      <c r="R22" s="90"/>
      <c r="S22" s="90"/>
      <c r="T22" s="90"/>
      <c r="U22" s="91"/>
      <c r="V22" s="77"/>
      <c r="W22" s="78" t="str">
        <f t="shared" si="1"/>
        <v/>
      </c>
      <c r="X22" s="79" t="str">
        <f t="shared" si="2"/>
        <v/>
      </c>
      <c r="Y22" s="21"/>
      <c r="Z22" s="21"/>
      <c r="AA22" s="21"/>
      <c r="AD22" s="21"/>
      <c r="AE22" s="21"/>
      <c r="AF22" s="21"/>
      <c r="AG22" s="21"/>
      <c r="AH22" s="3"/>
    </row>
    <row r="23" spans="2:34" s="23" customFormat="1" ht="94.5" customHeight="1" x14ac:dyDescent="0.3">
      <c r="B23" s="74"/>
      <c r="C23" s="74" t="s">
        <v>228</v>
      </c>
      <c r="D23" s="74" t="s">
        <v>259</v>
      </c>
      <c r="E23" s="74">
        <f t="shared" si="3"/>
        <v>17</v>
      </c>
      <c r="F23" s="74" t="s">
        <v>9</v>
      </c>
      <c r="G23" s="92" t="str">
        <f>IFERROR(VLOOKUP($C23,Tablas1!$B$3:$C$22,2,0),"ERROR")</f>
        <v>ERROR</v>
      </c>
      <c r="H23" s="93" t="str">
        <f>IFERROR(VLOOKUP(F23,Tablas1!$H$2:$I$14,2,0),"ERROR")</f>
        <v>FAC3</v>
      </c>
      <c r="I23" s="92" t="s">
        <v>303</v>
      </c>
      <c r="J23" s="76"/>
      <c r="K23" s="76" t="s">
        <v>200</v>
      </c>
      <c r="L23" s="76" t="s">
        <v>200</v>
      </c>
      <c r="M23" s="76" t="s">
        <v>200</v>
      </c>
      <c r="N23" s="75" t="s">
        <v>304</v>
      </c>
      <c r="O23" s="75" t="str">
        <f>VLOOKUP(CONCATENATE(IF(J23="X",1,0),IF(K23="X",2,0),IF(L23="X",3,0),IF(M23="X",4,0)),Puntuaciones!$I$15:$N$67,6,0)</f>
        <v>Mayor exposición de la Lotería al riesgo de LA/FT/FPADM.
Deterioro de los procesos operativos.
Pérdida de reputación.
Procesos judiciales, disciplinarios y/o legales.
Sanciones del supervisor, regulador y/o entes de control.
Pérdida de mercado.</v>
      </c>
      <c r="P23" s="73"/>
      <c r="Q23" s="90"/>
      <c r="R23" s="90"/>
      <c r="S23" s="90"/>
      <c r="T23" s="90"/>
      <c r="U23" s="91"/>
      <c r="V23" s="77"/>
      <c r="W23" s="78"/>
      <c r="X23" s="79"/>
      <c r="Y23" s="21"/>
      <c r="Z23" s="21"/>
      <c r="AA23" s="21"/>
      <c r="AD23" s="21"/>
      <c r="AE23" s="21"/>
      <c r="AF23" s="21"/>
      <c r="AG23" s="21"/>
      <c r="AH23" s="3"/>
    </row>
    <row r="24" spans="2:34" s="23" customFormat="1" ht="94.5" customHeight="1" x14ac:dyDescent="0.3">
      <c r="B24" s="74"/>
      <c r="C24" s="74" t="s">
        <v>226</v>
      </c>
      <c r="D24" s="74" t="s">
        <v>226</v>
      </c>
      <c r="E24" s="74">
        <f t="shared" si="3"/>
        <v>18</v>
      </c>
      <c r="F24" s="74" t="s">
        <v>242</v>
      </c>
      <c r="G24" s="92" t="str">
        <f>IFERROR(VLOOKUP($C24,Tablas1!$B$3:$C$22,2,0),"ERROR")</f>
        <v>ERROR</v>
      </c>
      <c r="H24" s="93" t="str">
        <f>IFERROR(VLOOKUP(F24,Tablas1!$H$2:$I$14,2,0),"ERROR")</f>
        <v>FAC5</v>
      </c>
      <c r="I24" s="92" t="s">
        <v>382</v>
      </c>
      <c r="J24" s="76" t="s">
        <v>200</v>
      </c>
      <c r="K24" s="76" t="s">
        <v>200</v>
      </c>
      <c r="L24" s="76" t="s">
        <v>200</v>
      </c>
      <c r="M24" s="76" t="s">
        <v>200</v>
      </c>
      <c r="N24" s="75" t="s">
        <v>305</v>
      </c>
      <c r="O24" s="75" t="str">
        <f>VLOOKUP(CONCATENATE(IF(J24="X",1,0),IF(K24="X",2,0),IF(L24="X",3,0),IF(M24="X",4,0)),Puntuaciones!$I$15:$N$67,6,0)</f>
        <v>Mayor exposición de la Lotería al riesgo de LA/FT/FPADM.
Deterioro de los procesos operativos.
Pérdida de reputación.
Procesos judiciales, disciplinarios y/o legales.
Sanciones del supervisor, regulador y/o entes de control.
Pérdida de mercado.
Evento de contagio que afecte a la Lotería por el efecto rebote.</v>
      </c>
      <c r="P24" s="73"/>
      <c r="Q24" s="90"/>
      <c r="R24" s="90"/>
      <c r="S24" s="90"/>
      <c r="T24" s="90"/>
      <c r="U24" s="91"/>
      <c r="V24" s="77"/>
      <c r="W24" s="78"/>
      <c r="X24" s="79"/>
      <c r="Y24" s="21"/>
      <c r="Z24" s="21"/>
      <c r="AA24" s="21"/>
      <c r="AD24" s="21"/>
      <c r="AE24" s="21"/>
      <c r="AF24" s="21"/>
      <c r="AG24" s="21"/>
      <c r="AH24" s="3"/>
    </row>
    <row r="25" spans="2:34" s="23" customFormat="1" ht="94.5" customHeight="1" x14ac:dyDescent="0.3">
      <c r="B25" s="74"/>
      <c r="C25" s="74" t="s">
        <v>226</v>
      </c>
      <c r="D25" s="74" t="s">
        <v>226</v>
      </c>
      <c r="E25" s="74">
        <f t="shared" si="3"/>
        <v>19</v>
      </c>
      <c r="F25" s="74" t="s">
        <v>240</v>
      </c>
      <c r="G25" s="92" t="str">
        <f>IFERROR(VLOOKUP($C25,Tablas1!$B$3:$C$22,2,0),"ERROR")</f>
        <v>ERROR</v>
      </c>
      <c r="H25" s="93" t="str">
        <f>IFERROR(VLOOKUP(F25,Tablas1!$H$2:$I$14,2,0),"ERROR")</f>
        <v>ERROR</v>
      </c>
      <c r="I25" s="92" t="s">
        <v>300</v>
      </c>
      <c r="J25" s="76" t="s">
        <v>200</v>
      </c>
      <c r="K25" s="76" t="s">
        <v>200</v>
      </c>
      <c r="L25" s="76" t="s">
        <v>200</v>
      </c>
      <c r="M25" s="76" t="s">
        <v>200</v>
      </c>
      <c r="N25" s="75" t="s">
        <v>306</v>
      </c>
      <c r="O25" s="75" t="str">
        <f>VLOOKUP(CONCATENATE(IF(J25="X",1,0),IF(K25="X",2,0),IF(L25="X",3,0),IF(M25="X",4,0)),Puntuaciones!$I$15:$N$67,6,0)</f>
        <v>Mayor exposición de la Lotería al riesgo de LA/FT/FPADM.
Deterioro de los procesos operativos.
Pérdida de reputación.
Procesos judiciales, disciplinarios y/o legales.
Sanciones del supervisor, regulador y/o entes de control.
Pérdida de mercado.
Evento de contagio que afecte a la Lotería por el efecto rebote.</v>
      </c>
      <c r="P25" s="73"/>
      <c r="Q25" s="90"/>
      <c r="R25" s="90"/>
      <c r="S25" s="90"/>
      <c r="T25" s="90"/>
      <c r="U25" s="91"/>
      <c r="V25" s="77"/>
      <c r="W25" s="78"/>
      <c r="X25" s="79"/>
      <c r="Y25" s="21"/>
      <c r="Z25" s="21"/>
      <c r="AA25" s="21"/>
      <c r="AD25" s="21"/>
      <c r="AE25" s="21"/>
      <c r="AF25" s="21"/>
      <c r="AG25" s="21"/>
      <c r="AH25" s="3"/>
    </row>
    <row r="26" spans="2:34" s="23" customFormat="1" ht="94.5" customHeight="1" x14ac:dyDescent="0.3">
      <c r="B26" s="74"/>
      <c r="C26" s="74" t="s">
        <v>226</v>
      </c>
      <c r="D26" s="74" t="s">
        <v>226</v>
      </c>
      <c r="E26" s="74">
        <f t="shared" si="3"/>
        <v>20</v>
      </c>
      <c r="F26" s="74" t="s">
        <v>284</v>
      </c>
      <c r="G26" s="92" t="str">
        <f>IFERROR(VLOOKUP($C26,Tablas1!$B$3:$C$22,2,0),"ERROR")</f>
        <v>ERROR</v>
      </c>
      <c r="H26" s="93" t="str">
        <f>IFERROR(VLOOKUP(F26,Tablas1!$H$2:$I$14,2,0),"ERROR")</f>
        <v>ERROR</v>
      </c>
      <c r="I26" s="92" t="s">
        <v>301</v>
      </c>
      <c r="J26" s="76" t="s">
        <v>200</v>
      </c>
      <c r="K26" s="76" t="s">
        <v>200</v>
      </c>
      <c r="L26" s="76" t="s">
        <v>200</v>
      </c>
      <c r="M26" s="76" t="s">
        <v>200</v>
      </c>
      <c r="N26" s="75" t="s">
        <v>307</v>
      </c>
      <c r="O26" s="75" t="str">
        <f>VLOOKUP(CONCATENATE(IF(J26="X",1,0),IF(K26="X",2,0),IF(L26="X",3,0),IF(M26="X",4,0)),Puntuaciones!$I$15:$N$67,6,0)</f>
        <v>Mayor exposición de la Lotería al riesgo de LA/FT/FPADM.
Deterioro de los procesos operativos.
Pérdida de reputación.
Procesos judiciales, disciplinarios y/o legales.
Sanciones del supervisor, regulador y/o entes de control.
Pérdida de mercado.
Evento de contagio que afecte a la Lotería por el efecto rebote.</v>
      </c>
      <c r="P26" s="73"/>
      <c r="Q26" s="90"/>
      <c r="R26" s="90"/>
      <c r="S26" s="90"/>
      <c r="T26" s="90"/>
      <c r="U26" s="91"/>
      <c r="V26" s="77"/>
      <c r="W26" s="78"/>
      <c r="X26" s="79"/>
      <c r="Y26" s="21"/>
      <c r="Z26" s="21"/>
      <c r="AA26" s="21"/>
      <c r="AD26" s="21"/>
      <c r="AE26" s="21"/>
      <c r="AF26" s="21"/>
      <c r="AG26" s="21"/>
      <c r="AH26" s="3"/>
    </row>
    <row r="27" spans="2:34" s="23" customFormat="1" ht="94.5" customHeight="1" x14ac:dyDescent="0.3">
      <c r="B27" s="74"/>
      <c r="C27" s="74" t="s">
        <v>226</v>
      </c>
      <c r="D27" s="74" t="s">
        <v>226</v>
      </c>
      <c r="E27" s="74">
        <f t="shared" si="3"/>
        <v>21</v>
      </c>
      <c r="F27" s="74" t="s">
        <v>241</v>
      </c>
      <c r="G27" s="92" t="str">
        <f>IFERROR(VLOOKUP($C27,Tablas1!$B$3:$C$22,2,0),"ERROR")</f>
        <v>ERROR</v>
      </c>
      <c r="H27" s="93" t="str">
        <f>IFERROR(VLOOKUP(F27,Tablas1!$H$2:$I$14,2,0),"ERROR")</f>
        <v>ERROR</v>
      </c>
      <c r="I27" s="92" t="s">
        <v>308</v>
      </c>
      <c r="J27" s="76" t="s">
        <v>200</v>
      </c>
      <c r="K27" s="76" t="s">
        <v>200</v>
      </c>
      <c r="L27" s="76" t="s">
        <v>200</v>
      </c>
      <c r="M27" s="76" t="s">
        <v>200</v>
      </c>
      <c r="N27" s="75" t="s">
        <v>309</v>
      </c>
      <c r="O27" s="75" t="str">
        <f>VLOOKUP(CONCATENATE(IF(J27="X",1,0),IF(K27="X",2,0),IF(L27="X",3,0),IF(M27="X",4,0)),Puntuaciones!$I$15:$N$67,6,0)</f>
        <v>Mayor exposición de la Lotería al riesgo de LA/FT/FPADM.
Deterioro de los procesos operativos.
Pérdida de reputación.
Procesos judiciales, disciplinarios y/o legales.
Sanciones del supervisor, regulador y/o entes de control.
Pérdida de mercado.
Evento de contagio que afecte a la Lotería por el efecto rebote.</v>
      </c>
      <c r="P27" s="73"/>
      <c r="Q27" s="90"/>
      <c r="R27" s="90"/>
      <c r="S27" s="90"/>
      <c r="T27" s="90"/>
      <c r="U27" s="91"/>
      <c r="V27" s="77"/>
      <c r="W27" s="78"/>
      <c r="X27" s="79"/>
      <c r="Y27" s="21"/>
      <c r="Z27" s="21"/>
      <c r="AA27" s="21"/>
      <c r="AD27" s="21"/>
      <c r="AE27" s="21"/>
      <c r="AF27" s="21"/>
      <c r="AG27" s="21"/>
      <c r="AH27" s="3"/>
    </row>
    <row r="28" spans="2:34" s="21" customFormat="1" ht="94.5" customHeight="1" x14ac:dyDescent="0.3">
      <c r="B28" s="74"/>
      <c r="C28" s="74" t="s">
        <v>226</v>
      </c>
      <c r="D28" s="74" t="s">
        <v>226</v>
      </c>
      <c r="E28" s="74">
        <f t="shared" si="3"/>
        <v>22</v>
      </c>
      <c r="F28" s="74" t="s">
        <v>9</v>
      </c>
      <c r="G28" s="92" t="str">
        <f>IFERROR(VLOOKUP($C28,Tablas1!$B$3:$C$22,2,0),"ERROR")</f>
        <v>ERROR</v>
      </c>
      <c r="H28" s="93" t="str">
        <f>IFERROR(VLOOKUP(F28,Tablas1!$H$2:$I$14,2,0),"ERROR")</f>
        <v>FAC3</v>
      </c>
      <c r="I28" s="92" t="s">
        <v>315</v>
      </c>
      <c r="J28" s="76"/>
      <c r="K28" s="76" t="s">
        <v>200</v>
      </c>
      <c r="L28" s="76" t="s">
        <v>200</v>
      </c>
      <c r="M28" s="76" t="s">
        <v>200</v>
      </c>
      <c r="N28" s="75" t="s">
        <v>316</v>
      </c>
      <c r="O28" s="75" t="str">
        <f>VLOOKUP(CONCATENATE(IF(J28="X",1,0),IF(K28="X",2,0),IF(L28="X",3,0),IF(M28="X",4,0)),Puntuaciones!$I$15:$N$67,6,0)</f>
        <v>Mayor exposición de la Lotería al riesgo de LA/FT/FPADM.
Deterioro de los procesos operativos.
Pérdida de reputación.
Procesos judiciales, disciplinarios y/o legales.
Sanciones del supervisor, regulador y/o entes de control.
Pérdida de mercado.</v>
      </c>
      <c r="P28" s="73"/>
      <c r="Q28" s="90"/>
      <c r="R28" s="90"/>
      <c r="S28" s="90"/>
      <c r="T28" s="90"/>
      <c r="U28" s="91"/>
      <c r="V28" s="77"/>
      <c r="W28" s="78"/>
      <c r="X28" s="79"/>
      <c r="AB28" s="23"/>
      <c r="AC28" s="23"/>
      <c r="AH28" s="3"/>
    </row>
    <row r="29" spans="2:34" s="21" customFormat="1" ht="94.5" customHeight="1" x14ac:dyDescent="0.3">
      <c r="B29" s="74"/>
      <c r="C29" s="74" t="s">
        <v>226</v>
      </c>
      <c r="D29" s="74" t="s">
        <v>226</v>
      </c>
      <c r="E29" s="74">
        <f t="shared" si="3"/>
        <v>23</v>
      </c>
      <c r="F29" s="74" t="s">
        <v>359</v>
      </c>
      <c r="G29" s="92" t="str">
        <f>IFERROR(VLOOKUP($C29,Tablas1!$B$3:$C$22,2,0),"ERROR")</f>
        <v>ERROR</v>
      </c>
      <c r="H29" s="93" t="str">
        <f>IFERROR(VLOOKUP(F29,Tablas1!$H$2:$I$14,2,0),"ERROR")</f>
        <v>ERROR</v>
      </c>
      <c r="I29" s="92" t="s">
        <v>311</v>
      </c>
      <c r="J29" s="76"/>
      <c r="K29" s="76" t="s">
        <v>200</v>
      </c>
      <c r="L29" s="76" t="s">
        <v>200</v>
      </c>
      <c r="M29" s="76" t="s">
        <v>200</v>
      </c>
      <c r="N29" s="75" t="s">
        <v>312</v>
      </c>
      <c r="O29" s="75" t="str">
        <f>VLOOKUP(CONCATENATE(IF(J29="X",1,0),IF(K29="X",2,0),IF(L29="X",3,0),IF(M29="X",4,0)),Puntuaciones!$I$15:$N$67,6,0)</f>
        <v>Mayor exposición de la Lotería al riesgo de LA/FT/FPADM.
Deterioro de los procesos operativos.
Pérdida de reputación.
Procesos judiciales, disciplinarios y/o legales.
Sanciones del supervisor, regulador y/o entes de control.
Pérdida de mercado.</v>
      </c>
      <c r="P29" s="73"/>
      <c r="Q29" s="90"/>
      <c r="R29" s="90"/>
      <c r="S29" s="90"/>
      <c r="T29" s="90"/>
      <c r="U29" s="91"/>
      <c r="V29" s="77"/>
      <c r="W29" s="78"/>
      <c r="X29" s="79"/>
      <c r="AB29" s="23"/>
      <c r="AC29" s="23"/>
      <c r="AH29" s="3"/>
    </row>
    <row r="30" spans="2:34" s="21" customFormat="1" ht="94.5" customHeight="1" x14ac:dyDescent="0.3">
      <c r="B30" s="74"/>
      <c r="C30" s="74" t="s">
        <v>226</v>
      </c>
      <c r="D30" s="74" t="s">
        <v>226</v>
      </c>
      <c r="E30" s="74">
        <f t="shared" si="3"/>
        <v>24</v>
      </c>
      <c r="F30" s="74" t="s">
        <v>243</v>
      </c>
      <c r="G30" s="92" t="str">
        <f>IFERROR(VLOOKUP($C30,Tablas1!$B$3:$C$22,2,0),"ERROR")</f>
        <v>ERROR</v>
      </c>
      <c r="H30" s="93" t="str">
        <f>IFERROR(VLOOKUP(F30,Tablas1!$H$2:$I$14,2,0),"ERROR")</f>
        <v>FAC2</v>
      </c>
      <c r="I30" s="92" t="s">
        <v>313</v>
      </c>
      <c r="J30" s="76"/>
      <c r="K30" s="76" t="s">
        <v>200</v>
      </c>
      <c r="L30" s="76" t="s">
        <v>200</v>
      </c>
      <c r="M30" s="76" t="s">
        <v>200</v>
      </c>
      <c r="N30" s="75" t="s">
        <v>314</v>
      </c>
      <c r="O30" s="75" t="str">
        <f>VLOOKUP(CONCATENATE(IF(J30="X",1,0),IF(K30="X",2,0),IF(L30="X",3,0),IF(M30="X",4,0)),Puntuaciones!$I$15:$N$67,6,0)</f>
        <v>Mayor exposición de la Lotería al riesgo de LA/FT/FPADM.
Deterioro de los procesos operativos.
Pérdida de reputación.
Procesos judiciales, disciplinarios y/o legales.
Sanciones del supervisor, regulador y/o entes de control.
Pérdida de mercado.</v>
      </c>
      <c r="P30" s="73"/>
      <c r="Q30" s="90"/>
      <c r="R30" s="90"/>
      <c r="S30" s="90"/>
      <c r="T30" s="90"/>
      <c r="U30" s="91"/>
      <c r="V30" s="77"/>
      <c r="W30" s="78"/>
      <c r="X30" s="79"/>
      <c r="AB30" s="23"/>
      <c r="AC30" s="23"/>
      <c r="AH30" s="3"/>
    </row>
    <row r="31" spans="2:34" s="21" customFormat="1" ht="94.5" customHeight="1" x14ac:dyDescent="0.3">
      <c r="B31" s="74"/>
      <c r="C31" s="74" t="s">
        <v>229</v>
      </c>
      <c r="D31" s="74" t="s">
        <v>229</v>
      </c>
      <c r="E31" s="74">
        <f t="shared" si="3"/>
        <v>25</v>
      </c>
      <c r="F31" s="74" t="s">
        <v>243</v>
      </c>
      <c r="G31" s="92" t="str">
        <f>IFERROR(VLOOKUP($C31,Tablas1!$B$3:$C$22,2,0),"ERROR")</f>
        <v>ERROR</v>
      </c>
      <c r="H31" s="93" t="str">
        <f>IFERROR(VLOOKUP(F31,Tablas1!$H$2:$I$14,2,0),"ERROR")</f>
        <v>FAC2</v>
      </c>
      <c r="I31" s="92" t="s">
        <v>350</v>
      </c>
      <c r="J31" s="76" t="s">
        <v>200</v>
      </c>
      <c r="K31" s="76" t="s">
        <v>200</v>
      </c>
      <c r="L31" s="76" t="s">
        <v>200</v>
      </c>
      <c r="M31" s="76" t="s">
        <v>200</v>
      </c>
      <c r="N31" s="75" t="s">
        <v>372</v>
      </c>
      <c r="O31" s="75" t="str">
        <f>VLOOKUP(CONCATENATE(IF(J31="X",1,0),IF(K31="X",2,0),IF(L31="X",3,0),IF(M31="X",4,0)),Puntuaciones!$I$15:$N$67,6,0)</f>
        <v>Mayor exposición de la Lotería al riesgo de LA/FT/FPADM.
Deterioro de los procesos operativos.
Pérdida de reputación.
Procesos judiciales, disciplinarios y/o legales.
Sanciones del supervisor, regulador y/o entes de control.
Pérdida de mercado.
Evento de contagio que afecte a la Lotería por el efecto rebote.</v>
      </c>
      <c r="P31" s="73"/>
      <c r="Q31" s="90"/>
      <c r="R31" s="90"/>
      <c r="S31" s="90"/>
      <c r="T31" s="90"/>
      <c r="U31" s="91"/>
      <c r="V31" s="77"/>
      <c r="W31" s="78"/>
      <c r="X31" s="79"/>
      <c r="AB31" s="23"/>
      <c r="AC31" s="23"/>
      <c r="AH31" s="3"/>
    </row>
    <row r="32" spans="2:34" s="21" customFormat="1" ht="94.5" customHeight="1" x14ac:dyDescent="0.3">
      <c r="B32" s="74"/>
      <c r="C32" s="74" t="s">
        <v>230</v>
      </c>
      <c r="D32" s="74" t="s">
        <v>230</v>
      </c>
      <c r="E32" s="74">
        <f t="shared" si="3"/>
        <v>26</v>
      </c>
      <c r="F32" s="74" t="s">
        <v>284</v>
      </c>
      <c r="G32" s="92" t="str">
        <f>IFERROR(VLOOKUP($C32,Tablas1!$B$3:$C$22,2,0),"ERROR")</f>
        <v>ERROR</v>
      </c>
      <c r="H32" s="93" t="str">
        <f>IFERROR(VLOOKUP(F32,Tablas1!$H$2:$I$14,2,0),"ERROR")</f>
        <v>ERROR</v>
      </c>
      <c r="I32" s="92" t="s">
        <v>318</v>
      </c>
      <c r="J32" s="76"/>
      <c r="K32" s="76" t="s">
        <v>200</v>
      </c>
      <c r="L32" s="76" t="s">
        <v>200</v>
      </c>
      <c r="M32" s="76" t="s">
        <v>200</v>
      </c>
      <c r="N32" s="75" t="s">
        <v>319</v>
      </c>
      <c r="O32" s="75" t="str">
        <f>VLOOKUP(CONCATENATE(IF(J32="X",1,0),IF(K32="X",2,0),IF(L32="X",3,0),IF(M32="X",4,0)),Puntuaciones!$I$15:$N$67,6,0)</f>
        <v>Mayor exposición de la Lotería al riesgo de LA/FT/FPADM.
Deterioro de los procesos operativos.
Pérdida de reputación.
Procesos judiciales, disciplinarios y/o legales.
Sanciones del supervisor, regulador y/o entes de control.
Pérdida de mercado.</v>
      </c>
      <c r="P32" s="73"/>
      <c r="Q32" s="90"/>
      <c r="R32" s="90"/>
      <c r="S32" s="90"/>
      <c r="T32" s="90"/>
      <c r="U32" s="91"/>
      <c r="V32" s="77"/>
      <c r="W32" s="78"/>
      <c r="X32" s="79"/>
      <c r="AB32" s="23"/>
      <c r="AC32" s="23"/>
      <c r="AH32" s="3"/>
    </row>
    <row r="33" spans="2:34" s="21" customFormat="1" ht="94.5" customHeight="1" x14ac:dyDescent="0.3">
      <c r="B33" s="74"/>
      <c r="C33" s="74" t="s">
        <v>230</v>
      </c>
      <c r="D33" s="74" t="s">
        <v>260</v>
      </c>
      <c r="E33" s="74">
        <f t="shared" si="3"/>
        <v>27</v>
      </c>
      <c r="F33" s="74" t="s">
        <v>242</v>
      </c>
      <c r="G33" s="92" t="str">
        <f>IFERROR(VLOOKUP($C33,Tablas1!$B$3:$C$22,2,0),"ERROR")</f>
        <v>ERROR</v>
      </c>
      <c r="H33" s="93" t="str">
        <f>IFERROR(VLOOKUP(F33,Tablas1!$H$2:$I$14,2,0),"ERROR")</f>
        <v>FAC5</v>
      </c>
      <c r="I33" s="92" t="s">
        <v>281</v>
      </c>
      <c r="J33" s="76"/>
      <c r="K33" s="76" t="s">
        <v>200</v>
      </c>
      <c r="L33" s="76" t="s">
        <v>200</v>
      </c>
      <c r="M33" s="76" t="s">
        <v>200</v>
      </c>
      <c r="N33" s="75" t="s">
        <v>322</v>
      </c>
      <c r="O33" s="75" t="str">
        <f>VLOOKUP(CONCATENATE(IF(J33="X",1,0),IF(K33="X",2,0),IF(L33="X",3,0),IF(M33="X",4,0)),Puntuaciones!$I$15:$N$67,6,0)</f>
        <v>Mayor exposición de la Lotería al riesgo de LA/FT/FPADM.
Deterioro de los procesos operativos.
Pérdida de reputación.
Procesos judiciales, disciplinarios y/o legales.
Sanciones del supervisor, regulador y/o entes de control.
Pérdida de mercado.</v>
      </c>
      <c r="P33" s="73"/>
      <c r="Q33" s="90"/>
      <c r="R33" s="90"/>
      <c r="S33" s="90"/>
      <c r="T33" s="90"/>
      <c r="U33" s="91"/>
      <c r="V33" s="77"/>
      <c r="W33" s="78"/>
      <c r="X33" s="79"/>
      <c r="AB33" s="23"/>
      <c r="AC33" s="23"/>
      <c r="AH33" s="3"/>
    </row>
    <row r="34" spans="2:34" s="21" customFormat="1" ht="94.5" customHeight="1" x14ac:dyDescent="0.3">
      <c r="B34" s="74"/>
      <c r="C34" s="74" t="s">
        <v>230</v>
      </c>
      <c r="D34" s="74" t="s">
        <v>260</v>
      </c>
      <c r="E34" s="74">
        <f t="shared" si="3"/>
        <v>28</v>
      </c>
      <c r="F34" s="74" t="s">
        <v>242</v>
      </c>
      <c r="G34" s="92" t="str">
        <f>IFERROR(VLOOKUP($C34,Tablas1!$B$3:$C$22,2,0),"ERROR")</f>
        <v>ERROR</v>
      </c>
      <c r="H34" s="93" t="str">
        <f>IFERROR(VLOOKUP(F34,Tablas1!$H$2:$I$14,2,0),"ERROR")</f>
        <v>FAC5</v>
      </c>
      <c r="I34" s="92" t="s">
        <v>320</v>
      </c>
      <c r="J34" s="76" t="s">
        <v>200</v>
      </c>
      <c r="K34" s="76" t="s">
        <v>200</v>
      </c>
      <c r="L34" s="76" t="s">
        <v>200</v>
      </c>
      <c r="M34" s="76" t="s">
        <v>200</v>
      </c>
      <c r="N34" s="75" t="s">
        <v>323</v>
      </c>
      <c r="O34" s="75" t="str">
        <f>VLOOKUP(CONCATENATE(IF(J34="X",1,0),IF(K34="X",2,0),IF(L34="X",3,0),IF(M34="X",4,0)),Puntuaciones!$I$15:$N$67,6,0)</f>
        <v>Mayor exposición de la Lotería al riesgo de LA/FT/FPADM.
Deterioro de los procesos operativos.
Pérdida de reputación.
Procesos judiciales, disciplinarios y/o legales.
Sanciones del supervisor, regulador y/o entes de control.
Pérdida de mercado.
Evento de contagio que afecte a la Lotería por el efecto rebote.</v>
      </c>
      <c r="P34" s="73"/>
      <c r="Q34" s="90"/>
      <c r="R34" s="90"/>
      <c r="S34" s="90"/>
      <c r="T34" s="90"/>
      <c r="U34" s="91"/>
      <c r="V34" s="77"/>
      <c r="W34" s="78"/>
      <c r="X34" s="79"/>
      <c r="AB34" s="23"/>
      <c r="AC34" s="23"/>
      <c r="AH34" s="3"/>
    </row>
    <row r="35" spans="2:34" s="21" customFormat="1" ht="94.5" customHeight="1" x14ac:dyDescent="0.3">
      <c r="B35" s="74"/>
      <c r="C35" s="74" t="s">
        <v>230</v>
      </c>
      <c r="D35" s="74" t="s">
        <v>260</v>
      </c>
      <c r="E35" s="74">
        <f t="shared" si="3"/>
        <v>29</v>
      </c>
      <c r="F35" s="74" t="s">
        <v>242</v>
      </c>
      <c r="G35" s="92" t="str">
        <f>IFERROR(VLOOKUP($C35,Tablas1!$B$3:$C$22,2,0),"ERROR")</f>
        <v>ERROR</v>
      </c>
      <c r="H35" s="93" t="str">
        <f>IFERROR(VLOOKUP(F35,Tablas1!$H$2:$I$14,2,0),"ERROR")</f>
        <v>FAC5</v>
      </c>
      <c r="I35" s="92" t="s">
        <v>324</v>
      </c>
      <c r="J35" s="76" t="s">
        <v>200</v>
      </c>
      <c r="K35" s="76" t="s">
        <v>200</v>
      </c>
      <c r="L35" s="76" t="s">
        <v>200</v>
      </c>
      <c r="M35" s="76" t="s">
        <v>200</v>
      </c>
      <c r="N35" s="75" t="s">
        <v>323</v>
      </c>
      <c r="O35" s="75" t="str">
        <f>VLOOKUP(CONCATENATE(IF(J35="X",1,0),IF(K35="X",2,0),IF(L35="X",3,0),IF(M35="X",4,0)),Puntuaciones!$I$15:$N$67,6,0)</f>
        <v>Mayor exposición de la Lotería al riesgo de LA/FT/FPADM.
Deterioro de los procesos operativos.
Pérdida de reputación.
Procesos judiciales, disciplinarios y/o legales.
Sanciones del supervisor, regulador y/o entes de control.
Pérdida de mercado.
Evento de contagio que afecte a la Lotería por el efecto rebote.</v>
      </c>
      <c r="P35" s="73"/>
      <c r="Q35" s="90"/>
      <c r="R35" s="90"/>
      <c r="S35" s="90"/>
      <c r="T35" s="90"/>
      <c r="U35" s="91"/>
      <c r="V35" s="77"/>
      <c r="W35" s="78"/>
      <c r="X35" s="79"/>
      <c r="AB35" s="23"/>
      <c r="AC35" s="23"/>
      <c r="AH35" s="3"/>
    </row>
    <row r="36" spans="2:34" s="21" customFormat="1" ht="94.5" customHeight="1" x14ac:dyDescent="0.3">
      <c r="B36" s="74"/>
      <c r="C36" s="74" t="s">
        <v>230</v>
      </c>
      <c r="D36" s="74" t="s">
        <v>260</v>
      </c>
      <c r="E36" s="74">
        <f t="shared" si="3"/>
        <v>30</v>
      </c>
      <c r="F36" s="74" t="s">
        <v>242</v>
      </c>
      <c r="G36" s="92" t="str">
        <f>IFERROR(VLOOKUP($C36,Tablas1!$B$3:$C$22,2,0),"ERROR")</f>
        <v>ERROR</v>
      </c>
      <c r="H36" s="93" t="str">
        <f>IFERROR(VLOOKUP(F36,Tablas1!$H$2:$I$14,2,0),"ERROR")</f>
        <v>FAC5</v>
      </c>
      <c r="I36" s="92" t="s">
        <v>357</v>
      </c>
      <c r="J36" s="76" t="s">
        <v>200</v>
      </c>
      <c r="K36" s="76" t="s">
        <v>200</v>
      </c>
      <c r="L36" s="76" t="s">
        <v>200</v>
      </c>
      <c r="M36" s="76" t="s">
        <v>200</v>
      </c>
      <c r="N36" s="75" t="s">
        <v>327</v>
      </c>
      <c r="O36" s="75" t="str">
        <f>VLOOKUP(CONCATENATE(IF(J36="X",1,0),IF(K36="X",2,0),IF(L36="X",3,0),IF(M36="X",4,0)),Puntuaciones!$I$15:$N$67,6,0)</f>
        <v>Mayor exposición de la Lotería al riesgo de LA/FT/FPADM.
Deterioro de los procesos operativos.
Pérdida de reputación.
Procesos judiciales, disciplinarios y/o legales.
Sanciones del supervisor, regulador y/o entes de control.
Pérdida de mercado.
Evento de contagio que afecte a la Lotería por el efecto rebote.</v>
      </c>
      <c r="P36" s="73"/>
      <c r="Q36" s="90"/>
      <c r="R36" s="90"/>
      <c r="S36" s="90"/>
      <c r="T36" s="90"/>
      <c r="U36" s="91"/>
      <c r="V36" s="77"/>
      <c r="W36" s="78"/>
      <c r="X36" s="79"/>
      <c r="AB36" s="23"/>
      <c r="AC36" s="23"/>
      <c r="AH36" s="3"/>
    </row>
    <row r="37" spans="2:34" s="21" customFormat="1" ht="94.5" customHeight="1" x14ac:dyDescent="0.3">
      <c r="B37" s="74"/>
      <c r="C37" s="74" t="s">
        <v>230</v>
      </c>
      <c r="D37" s="74" t="s">
        <v>260</v>
      </c>
      <c r="E37" s="74">
        <f t="shared" si="3"/>
        <v>31</v>
      </c>
      <c r="F37" s="74" t="s">
        <v>242</v>
      </c>
      <c r="G37" s="92" t="str">
        <f>IFERROR(VLOOKUP($C37,Tablas1!$B$3:$C$22,2,0),"ERROR")</f>
        <v>ERROR</v>
      </c>
      <c r="H37" s="93" t="str">
        <f>IFERROR(VLOOKUP(F37,Tablas1!$H$2:$I$14,2,0),"ERROR")</f>
        <v>FAC5</v>
      </c>
      <c r="I37" s="92" t="s">
        <v>326</v>
      </c>
      <c r="J37" s="76" t="s">
        <v>200</v>
      </c>
      <c r="K37" s="76" t="s">
        <v>200</v>
      </c>
      <c r="L37" s="76" t="s">
        <v>200</v>
      </c>
      <c r="M37" s="76" t="s">
        <v>200</v>
      </c>
      <c r="N37" s="75" t="s">
        <v>323</v>
      </c>
      <c r="O37" s="75" t="str">
        <f>VLOOKUP(CONCATENATE(IF(J37="X",1,0),IF(K37="X",2,0),IF(L37="X",3,0),IF(M37="X",4,0)),Puntuaciones!$I$15:$N$67,6,0)</f>
        <v>Mayor exposición de la Lotería al riesgo de LA/FT/FPADM.
Deterioro de los procesos operativos.
Pérdida de reputación.
Procesos judiciales, disciplinarios y/o legales.
Sanciones del supervisor, regulador y/o entes de control.
Pérdida de mercado.
Evento de contagio que afecte a la Lotería por el efecto rebote.</v>
      </c>
      <c r="P37" s="73"/>
      <c r="Q37" s="90"/>
      <c r="R37" s="90"/>
      <c r="S37" s="90"/>
      <c r="T37" s="90"/>
      <c r="U37" s="91"/>
      <c r="V37" s="77"/>
      <c r="W37" s="78"/>
      <c r="X37" s="79"/>
      <c r="AB37" s="23"/>
      <c r="AC37" s="23"/>
      <c r="AH37" s="3"/>
    </row>
    <row r="38" spans="2:34" s="21" customFormat="1" ht="94.5" customHeight="1" x14ac:dyDescent="0.3">
      <c r="B38" s="74"/>
      <c r="C38" s="74" t="s">
        <v>230</v>
      </c>
      <c r="D38" s="74" t="s">
        <v>260</v>
      </c>
      <c r="E38" s="74">
        <f t="shared" si="3"/>
        <v>32</v>
      </c>
      <c r="F38" s="74" t="s">
        <v>242</v>
      </c>
      <c r="G38" s="92" t="str">
        <f>IFERROR(VLOOKUP($C38,Tablas1!$B$3:$C$22,2,0),"ERROR")</f>
        <v>ERROR</v>
      </c>
      <c r="H38" s="93" t="str">
        <f>IFERROR(VLOOKUP(F38,Tablas1!$H$2:$I$14,2,0),"ERROR")</f>
        <v>FAC5</v>
      </c>
      <c r="I38" s="75" t="s">
        <v>340</v>
      </c>
      <c r="J38" s="76" t="s">
        <v>200</v>
      </c>
      <c r="K38" s="76" t="s">
        <v>200</v>
      </c>
      <c r="L38" s="76" t="s">
        <v>200</v>
      </c>
      <c r="M38" s="76" t="s">
        <v>200</v>
      </c>
      <c r="N38" s="75" t="s">
        <v>348</v>
      </c>
      <c r="O38" s="75" t="str">
        <f>VLOOKUP(CONCATENATE(IF(J38="X",1,0),IF(K38="X",2,0),IF(L38="X",3,0),IF(M38="X",4,0)),Puntuaciones!$I$15:$N$67,6,0)</f>
        <v>Mayor exposición de la Lotería al riesgo de LA/FT/FPADM.
Deterioro de los procesos operativos.
Pérdida de reputación.
Procesos judiciales, disciplinarios y/o legales.
Sanciones del supervisor, regulador y/o entes de control.
Pérdida de mercado.
Evento de contagio que afecte a la Lotería por el efecto rebote.</v>
      </c>
      <c r="P38" s="73"/>
      <c r="Q38" s="90"/>
      <c r="R38" s="90"/>
      <c r="S38" s="90"/>
      <c r="T38" s="90"/>
      <c r="U38" s="91"/>
      <c r="V38" s="77"/>
      <c r="W38" s="78"/>
      <c r="X38" s="79"/>
      <c r="AB38" s="23"/>
      <c r="AC38" s="23"/>
      <c r="AH38" s="3"/>
    </row>
    <row r="39" spans="2:34" s="21" customFormat="1" ht="94.5" customHeight="1" x14ac:dyDescent="0.3">
      <c r="B39" s="74"/>
      <c r="C39" s="74" t="s">
        <v>230</v>
      </c>
      <c r="D39" s="74" t="s">
        <v>260</v>
      </c>
      <c r="E39" s="74">
        <f t="shared" si="3"/>
        <v>33</v>
      </c>
      <c r="F39" s="74" t="s">
        <v>242</v>
      </c>
      <c r="G39" s="92" t="str">
        <f>IFERROR(VLOOKUP($C39,Tablas1!$B$3:$C$22,2,0),"ERROR")</f>
        <v>ERROR</v>
      </c>
      <c r="H39" s="93" t="str">
        <f>IFERROR(VLOOKUP(F39,Tablas1!$H$2:$I$14,2,0),"ERROR")</f>
        <v>FAC5</v>
      </c>
      <c r="I39" s="75" t="s">
        <v>341</v>
      </c>
      <c r="J39" s="76" t="s">
        <v>200</v>
      </c>
      <c r="K39" s="76" t="s">
        <v>200</v>
      </c>
      <c r="L39" s="76" t="s">
        <v>200</v>
      </c>
      <c r="M39" s="76" t="s">
        <v>200</v>
      </c>
      <c r="N39" s="75" t="s">
        <v>348</v>
      </c>
      <c r="O39" s="75" t="str">
        <f>VLOOKUP(CONCATENATE(IF(J39="X",1,0),IF(K39="X",2,0),IF(L39="X",3,0),IF(M39="X",4,0)),Puntuaciones!$I$15:$N$67,6,0)</f>
        <v>Mayor exposición de la Lotería al riesgo de LA/FT/FPADM.
Deterioro de los procesos operativos.
Pérdida de reputación.
Procesos judiciales, disciplinarios y/o legales.
Sanciones del supervisor, regulador y/o entes de control.
Pérdida de mercado.
Evento de contagio que afecte a la Lotería por el efecto rebote.</v>
      </c>
      <c r="P39" s="73"/>
      <c r="Q39" s="90"/>
      <c r="R39" s="90"/>
      <c r="S39" s="90"/>
      <c r="T39" s="90"/>
      <c r="U39" s="91"/>
      <c r="V39" s="77"/>
      <c r="W39" s="78"/>
      <c r="X39" s="79"/>
      <c r="AB39" s="23"/>
      <c r="AC39" s="23"/>
      <c r="AH39" s="3"/>
    </row>
    <row r="40" spans="2:34" s="21" customFormat="1" ht="94.5" customHeight="1" x14ac:dyDescent="0.3">
      <c r="B40" s="74"/>
      <c r="C40" s="74" t="s">
        <v>230</v>
      </c>
      <c r="D40" s="74" t="s">
        <v>260</v>
      </c>
      <c r="E40" s="74">
        <f t="shared" si="3"/>
        <v>34</v>
      </c>
      <c r="F40" s="74" t="s">
        <v>242</v>
      </c>
      <c r="G40" s="92" t="str">
        <f>IFERROR(VLOOKUP($C40,Tablas1!$B$3:$C$22,2,0),"ERROR")</f>
        <v>ERROR</v>
      </c>
      <c r="H40" s="93" t="str">
        <f>IFERROR(VLOOKUP(F40,Tablas1!$H$2:$I$14,2,0),"ERROR")</f>
        <v>FAC5</v>
      </c>
      <c r="I40" s="92" t="s">
        <v>383</v>
      </c>
      <c r="J40" s="76" t="s">
        <v>200</v>
      </c>
      <c r="K40" s="76" t="s">
        <v>200</v>
      </c>
      <c r="L40" s="76" t="s">
        <v>200</v>
      </c>
      <c r="M40" s="76" t="s">
        <v>200</v>
      </c>
      <c r="N40" s="75" t="s">
        <v>288</v>
      </c>
      <c r="O40" s="75" t="str">
        <f>VLOOKUP(CONCATENATE(IF(J40="X",1,0),IF(K40="X",2,0),IF(L40="X",3,0),IF(M40="X",4,0)),Puntuaciones!$I$15:$N$67,6,0)</f>
        <v>Mayor exposición de la Lotería al riesgo de LA/FT/FPADM.
Deterioro de los procesos operativos.
Pérdida de reputación.
Procesos judiciales, disciplinarios y/o legales.
Sanciones del supervisor, regulador y/o entes de control.
Pérdida de mercado.
Evento de contagio que afecte a la Lotería por el efecto rebote.</v>
      </c>
      <c r="P40" s="73"/>
      <c r="Q40" s="90"/>
      <c r="R40" s="90"/>
      <c r="S40" s="90"/>
      <c r="T40" s="90"/>
      <c r="U40" s="91"/>
      <c r="V40" s="77"/>
      <c r="W40" s="78"/>
      <c r="X40" s="79"/>
      <c r="AB40" s="23"/>
      <c r="AC40" s="23"/>
      <c r="AH40" s="3"/>
    </row>
    <row r="41" spans="2:34" s="21" customFormat="1" ht="94.5" customHeight="1" x14ac:dyDescent="0.3">
      <c r="B41" s="74"/>
      <c r="C41" s="74" t="s">
        <v>230</v>
      </c>
      <c r="D41" s="74" t="s">
        <v>260</v>
      </c>
      <c r="E41" s="74">
        <f t="shared" si="3"/>
        <v>35</v>
      </c>
      <c r="F41" s="74" t="s">
        <v>242</v>
      </c>
      <c r="G41" s="92" t="str">
        <f>IFERROR(VLOOKUP($C41,Tablas1!$B$3:$C$22,2,0),"ERROR")</f>
        <v>ERROR</v>
      </c>
      <c r="H41" s="93" t="str">
        <f>IFERROR(VLOOKUP(F41,Tablas1!$H$2:$I$14,2,0),"ERROR")</f>
        <v>FAC5</v>
      </c>
      <c r="I41" s="92" t="s">
        <v>330</v>
      </c>
      <c r="J41" s="76" t="s">
        <v>200</v>
      </c>
      <c r="K41" s="76" t="s">
        <v>200</v>
      </c>
      <c r="L41" s="76" t="s">
        <v>200</v>
      </c>
      <c r="M41" s="76" t="s">
        <v>200</v>
      </c>
      <c r="N41" s="75" t="s">
        <v>323</v>
      </c>
      <c r="O41" s="75" t="str">
        <f>VLOOKUP(CONCATENATE(IF(J41="X",1,0),IF(K41="X",2,0),IF(L41="X",3,0),IF(M41="X",4,0)),Puntuaciones!$I$15:$N$67,6,0)</f>
        <v>Mayor exposición de la Lotería al riesgo de LA/FT/FPADM.
Deterioro de los procesos operativos.
Pérdida de reputación.
Procesos judiciales, disciplinarios y/o legales.
Sanciones del supervisor, regulador y/o entes de control.
Pérdida de mercado.
Evento de contagio que afecte a la Lotería por el efecto rebote.</v>
      </c>
      <c r="P41" s="73"/>
      <c r="Q41" s="90"/>
      <c r="R41" s="90"/>
      <c r="S41" s="90"/>
      <c r="T41" s="90"/>
      <c r="U41" s="91"/>
      <c r="V41" s="77"/>
      <c r="W41" s="78"/>
      <c r="X41" s="79"/>
      <c r="AB41" s="23"/>
      <c r="AC41" s="23"/>
      <c r="AH41" s="3"/>
    </row>
    <row r="42" spans="2:34" s="21" customFormat="1" ht="94.5" customHeight="1" x14ac:dyDescent="0.3">
      <c r="B42" s="74"/>
      <c r="C42" s="74" t="s">
        <v>230</v>
      </c>
      <c r="D42" s="74" t="s">
        <v>260</v>
      </c>
      <c r="E42" s="74">
        <f t="shared" si="3"/>
        <v>36</v>
      </c>
      <c r="F42" s="74" t="s">
        <v>242</v>
      </c>
      <c r="G42" s="92" t="str">
        <f>IFERROR(VLOOKUP($C42,Tablas1!$B$3:$C$22,2,0),"ERROR")</f>
        <v>ERROR</v>
      </c>
      <c r="H42" s="93" t="str">
        <f>IFERROR(VLOOKUP(F42,Tablas1!$H$2:$I$14,2,0),"ERROR")</f>
        <v>FAC5</v>
      </c>
      <c r="I42" s="92" t="s">
        <v>386</v>
      </c>
      <c r="J42" s="76" t="s">
        <v>200</v>
      </c>
      <c r="K42" s="76" t="s">
        <v>200</v>
      </c>
      <c r="L42" s="76" t="s">
        <v>200</v>
      </c>
      <c r="M42" s="76" t="s">
        <v>200</v>
      </c>
      <c r="N42" s="75" t="s">
        <v>327</v>
      </c>
      <c r="O42" s="75" t="str">
        <f>VLOOKUP(CONCATENATE(IF(J42="X",1,0),IF(K42="X",2,0),IF(L42="X",3,0),IF(M42="X",4,0)),Puntuaciones!$I$15:$N$67,6,0)</f>
        <v>Mayor exposición de la Lotería al riesgo de LA/FT/FPADM.
Deterioro de los procesos operativos.
Pérdida de reputación.
Procesos judiciales, disciplinarios y/o legales.
Sanciones del supervisor, regulador y/o entes de control.
Pérdida de mercado.
Evento de contagio que afecte a la Lotería por el efecto rebote.</v>
      </c>
      <c r="P42" s="73"/>
      <c r="Q42" s="90"/>
      <c r="R42" s="90"/>
      <c r="S42" s="90"/>
      <c r="T42" s="90"/>
      <c r="U42" s="91"/>
      <c r="V42" s="77"/>
      <c r="W42" s="78"/>
      <c r="X42" s="79"/>
      <c r="AB42" s="23"/>
      <c r="AC42" s="23"/>
      <c r="AH42" s="3"/>
    </row>
    <row r="43" spans="2:34" s="21" customFormat="1" ht="94.5" customHeight="1" x14ac:dyDescent="0.3">
      <c r="B43" s="74"/>
      <c r="C43" s="74" t="s">
        <v>230</v>
      </c>
      <c r="D43" s="74" t="s">
        <v>261</v>
      </c>
      <c r="E43" s="74">
        <f t="shared" si="3"/>
        <v>37</v>
      </c>
      <c r="F43" s="74" t="s">
        <v>240</v>
      </c>
      <c r="G43" s="92" t="str">
        <f>IFERROR(VLOOKUP($C43,Tablas1!$B$3:$C$22,2,0),"ERROR")</f>
        <v>ERROR</v>
      </c>
      <c r="H43" s="93" t="str">
        <f>IFERROR(VLOOKUP(F43,Tablas1!$H$2:$I$14,2,0),"ERROR")</f>
        <v>ERROR</v>
      </c>
      <c r="I43" s="92" t="s">
        <v>328</v>
      </c>
      <c r="J43" s="76" t="s">
        <v>200</v>
      </c>
      <c r="K43" s="76" t="s">
        <v>200</v>
      </c>
      <c r="L43" s="76" t="s">
        <v>200</v>
      </c>
      <c r="M43" s="76" t="s">
        <v>200</v>
      </c>
      <c r="N43" s="75" t="s">
        <v>329</v>
      </c>
      <c r="O43" s="75" t="str">
        <f>VLOOKUP(CONCATENATE(IF(J43="X",1,0),IF(K43="X",2,0),IF(L43="X",3,0),IF(M43="X",4,0)),Puntuaciones!$I$15:$N$67,6,0)</f>
        <v>Mayor exposición de la Lotería al riesgo de LA/FT/FPADM.
Deterioro de los procesos operativos.
Pérdida de reputación.
Procesos judiciales, disciplinarios y/o legales.
Sanciones del supervisor, regulador y/o entes de control.
Pérdida de mercado.
Evento de contagio que afecte a la Lotería por el efecto rebote.</v>
      </c>
      <c r="P43" s="73"/>
      <c r="Q43" s="90"/>
      <c r="R43" s="90"/>
      <c r="S43" s="90"/>
      <c r="T43" s="90"/>
      <c r="U43" s="91"/>
      <c r="V43" s="77"/>
      <c r="W43" s="78"/>
      <c r="X43" s="79"/>
      <c r="AB43" s="23"/>
      <c r="AC43" s="23"/>
      <c r="AH43" s="3"/>
    </row>
    <row r="44" spans="2:34" s="21" customFormat="1" ht="94.5" customHeight="1" x14ac:dyDescent="0.3">
      <c r="B44" s="74"/>
      <c r="C44" s="74" t="s">
        <v>199</v>
      </c>
      <c r="D44" s="74" t="s">
        <v>342</v>
      </c>
      <c r="E44" s="74">
        <f t="shared" si="3"/>
        <v>38</v>
      </c>
      <c r="F44" s="74" t="s">
        <v>284</v>
      </c>
      <c r="G44" s="92" t="str">
        <f>IFERROR(VLOOKUP($C44,Tablas1!$B$3:$C$22,2,0),"ERROR")</f>
        <v>ERROR</v>
      </c>
      <c r="H44" s="93" t="str">
        <f>IFERROR(VLOOKUP(F44,Tablas1!$H$2:$I$14,2,0),"ERROR")</f>
        <v>ERROR</v>
      </c>
      <c r="I44" s="92" t="s">
        <v>334</v>
      </c>
      <c r="J44" s="76" t="s">
        <v>200</v>
      </c>
      <c r="K44" s="76" t="s">
        <v>200</v>
      </c>
      <c r="L44" s="76" t="s">
        <v>200</v>
      </c>
      <c r="M44" s="76" t="s">
        <v>200</v>
      </c>
      <c r="N44" s="75" t="s">
        <v>373</v>
      </c>
      <c r="O44" s="75" t="str">
        <f>VLOOKUP(CONCATENATE(IF(J44="X",1,0),IF(K44="X",2,0),IF(L44="X",3,0),IF(M44="X",4,0)),Puntuaciones!$I$15:$N$67,6,0)</f>
        <v>Mayor exposición de la Lotería al riesgo de LA/FT/FPADM.
Deterioro de los procesos operativos.
Pérdida de reputación.
Procesos judiciales, disciplinarios y/o legales.
Sanciones del supervisor, regulador y/o entes de control.
Pérdida de mercado.
Evento de contagio que afecte a la Lotería por el efecto rebote.</v>
      </c>
      <c r="P44" s="73"/>
      <c r="Q44" s="90"/>
      <c r="R44" s="90"/>
      <c r="S44" s="90"/>
      <c r="T44" s="90"/>
      <c r="U44" s="91"/>
      <c r="V44" s="77"/>
      <c r="W44" s="78"/>
      <c r="X44" s="79"/>
      <c r="AB44" s="23"/>
      <c r="AC44" s="23"/>
      <c r="AH44" s="3"/>
    </row>
    <row r="45" spans="2:34" s="21" customFormat="1" ht="94.5" customHeight="1" x14ac:dyDescent="0.3">
      <c r="B45" s="74"/>
      <c r="C45" s="74" t="s">
        <v>199</v>
      </c>
      <c r="D45" s="74" t="s">
        <v>342</v>
      </c>
      <c r="E45" s="74">
        <f t="shared" si="3"/>
        <v>39</v>
      </c>
      <c r="F45" s="74" t="s">
        <v>284</v>
      </c>
      <c r="G45" s="92" t="str">
        <f>IFERROR(VLOOKUP($C45,Tablas1!$B$3:$C$22,2,0),"ERROR")</f>
        <v>ERROR</v>
      </c>
      <c r="H45" s="93" t="str">
        <f>IFERROR(VLOOKUP(F45,Tablas1!$H$2:$I$14,2,0),"ERROR")</f>
        <v>ERROR</v>
      </c>
      <c r="I45" s="92" t="s">
        <v>333</v>
      </c>
      <c r="J45" s="76" t="s">
        <v>200</v>
      </c>
      <c r="K45" s="76" t="s">
        <v>200</v>
      </c>
      <c r="L45" s="76" t="s">
        <v>200</v>
      </c>
      <c r="M45" s="76" t="s">
        <v>200</v>
      </c>
      <c r="N45" s="75" t="s">
        <v>373</v>
      </c>
      <c r="O45" s="75" t="str">
        <f>VLOOKUP(CONCATENATE(IF(J45="X",1,0),IF(K45="X",2,0),IF(L45="X",3,0),IF(M45="X",4,0)),Puntuaciones!$I$15:$N$67,6,0)</f>
        <v>Mayor exposición de la Lotería al riesgo de LA/FT/FPADM.
Deterioro de los procesos operativos.
Pérdida de reputación.
Procesos judiciales, disciplinarios y/o legales.
Sanciones del supervisor, regulador y/o entes de control.
Pérdida de mercado.
Evento de contagio que afecte a la Lotería por el efecto rebote.</v>
      </c>
      <c r="P45" s="73"/>
      <c r="Q45" s="90"/>
      <c r="R45" s="90"/>
      <c r="S45" s="90"/>
      <c r="T45" s="90"/>
      <c r="U45" s="91"/>
      <c r="V45" s="77"/>
      <c r="W45" s="78"/>
      <c r="X45" s="79"/>
      <c r="AB45" s="23"/>
      <c r="AC45" s="23"/>
      <c r="AH45" s="3"/>
    </row>
    <row r="46" spans="2:34" s="21" customFormat="1" ht="94.5" customHeight="1" x14ac:dyDescent="0.3">
      <c r="B46" s="74"/>
      <c r="C46" s="74" t="s">
        <v>199</v>
      </c>
      <c r="D46" s="74" t="s">
        <v>342</v>
      </c>
      <c r="E46" s="74">
        <f t="shared" si="3"/>
        <v>40</v>
      </c>
      <c r="F46" s="74" t="s">
        <v>284</v>
      </c>
      <c r="G46" s="92" t="str">
        <f>IFERROR(VLOOKUP($C46,Tablas1!$B$3:$C$22,2,0),"ERROR")</f>
        <v>ERROR</v>
      </c>
      <c r="H46" s="93" t="str">
        <f>IFERROR(VLOOKUP(F46,Tablas1!$H$2:$I$14,2,0),"ERROR")</f>
        <v>ERROR</v>
      </c>
      <c r="I46" s="92" t="s">
        <v>332</v>
      </c>
      <c r="J46" s="76" t="s">
        <v>200</v>
      </c>
      <c r="K46" s="76" t="s">
        <v>200</v>
      </c>
      <c r="L46" s="76" t="s">
        <v>200</v>
      </c>
      <c r="M46" s="76" t="s">
        <v>200</v>
      </c>
      <c r="N46" s="75" t="s">
        <v>374</v>
      </c>
      <c r="O46" s="75" t="str">
        <f>VLOOKUP(CONCATENATE(IF(J46="X",1,0),IF(K46="X",2,0),IF(L46="X",3,0),IF(M46="X",4,0)),Puntuaciones!$I$15:$N$67,6,0)</f>
        <v>Mayor exposición de la Lotería al riesgo de LA/FT/FPADM.
Deterioro de los procesos operativos.
Pérdida de reputación.
Procesos judiciales, disciplinarios y/o legales.
Sanciones del supervisor, regulador y/o entes de control.
Pérdida de mercado.
Evento de contagio que afecte a la Lotería por el efecto rebote.</v>
      </c>
      <c r="P46" s="73"/>
      <c r="Q46" s="90"/>
      <c r="R46" s="90"/>
      <c r="S46" s="90"/>
      <c r="T46" s="90"/>
      <c r="U46" s="91"/>
      <c r="V46" s="77"/>
      <c r="W46" s="78"/>
      <c r="X46" s="79"/>
      <c r="AB46" s="23"/>
      <c r="AC46" s="23"/>
      <c r="AH46" s="3"/>
    </row>
    <row r="47" spans="2:34" s="21" customFormat="1" ht="94.5" customHeight="1" x14ac:dyDescent="0.3">
      <c r="B47" s="74"/>
      <c r="C47" s="74" t="s">
        <v>199</v>
      </c>
      <c r="D47" s="74" t="s">
        <v>342</v>
      </c>
      <c r="E47" s="74">
        <f t="shared" si="3"/>
        <v>41</v>
      </c>
      <c r="F47" s="74" t="s">
        <v>284</v>
      </c>
      <c r="G47" s="92" t="str">
        <f>IFERROR(VLOOKUP($C47,Tablas1!$B$3:$C$22,2,0),"ERROR")</f>
        <v>ERROR</v>
      </c>
      <c r="H47" s="93" t="str">
        <f>IFERROR(VLOOKUP(F47,Tablas1!$H$2:$I$14,2,0),"ERROR")</f>
        <v>ERROR</v>
      </c>
      <c r="I47" s="92" t="s">
        <v>335</v>
      </c>
      <c r="J47" s="76" t="s">
        <v>200</v>
      </c>
      <c r="K47" s="76" t="s">
        <v>200</v>
      </c>
      <c r="L47" s="76" t="s">
        <v>200</v>
      </c>
      <c r="M47" s="76" t="s">
        <v>200</v>
      </c>
      <c r="N47" s="75" t="s">
        <v>373</v>
      </c>
      <c r="O47" s="75" t="str">
        <f>VLOOKUP(CONCATENATE(IF(J47="X",1,0),IF(K47="X",2,0),IF(L47="X",3,0),IF(M47="X",4,0)),Puntuaciones!$I$15:$N$67,6,0)</f>
        <v>Mayor exposición de la Lotería al riesgo de LA/FT/FPADM.
Deterioro de los procesos operativos.
Pérdida de reputación.
Procesos judiciales, disciplinarios y/o legales.
Sanciones del supervisor, regulador y/o entes de control.
Pérdida de mercado.
Evento de contagio que afecte a la Lotería por el efecto rebote.</v>
      </c>
      <c r="P47" s="73"/>
      <c r="Q47" s="90"/>
      <c r="R47" s="90"/>
      <c r="S47" s="90"/>
      <c r="T47" s="90"/>
      <c r="U47" s="91"/>
      <c r="V47" s="77"/>
      <c r="W47" s="78"/>
      <c r="X47" s="79"/>
      <c r="AB47" s="23"/>
      <c r="AC47" s="23"/>
      <c r="AH47" s="3"/>
    </row>
    <row r="48" spans="2:34" s="21" customFormat="1" ht="94.5" customHeight="1" x14ac:dyDescent="0.3">
      <c r="B48" s="74"/>
      <c r="C48" s="74" t="s">
        <v>199</v>
      </c>
      <c r="D48" s="74" t="s">
        <v>342</v>
      </c>
      <c r="E48" s="74">
        <f t="shared" si="3"/>
        <v>42</v>
      </c>
      <c r="F48" s="74" t="s">
        <v>284</v>
      </c>
      <c r="G48" s="92" t="str">
        <f>IFERROR(VLOOKUP($C48,Tablas1!$B$3:$C$22,2,0),"ERROR")</f>
        <v>ERROR</v>
      </c>
      <c r="H48" s="93" t="str">
        <f>IFERROR(VLOOKUP(F48,Tablas1!$H$2:$I$14,2,0),"ERROR")</f>
        <v>ERROR</v>
      </c>
      <c r="I48" s="92" t="s">
        <v>336</v>
      </c>
      <c r="J48" s="76" t="s">
        <v>200</v>
      </c>
      <c r="K48" s="76" t="s">
        <v>200</v>
      </c>
      <c r="L48" s="76" t="s">
        <v>200</v>
      </c>
      <c r="M48" s="76" t="s">
        <v>200</v>
      </c>
      <c r="N48" s="75" t="s">
        <v>374</v>
      </c>
      <c r="O48" s="75" t="str">
        <f>VLOOKUP(CONCATENATE(IF(J48="X",1,0),IF(K48="X",2,0),IF(L48="X",3,0),IF(M48="X",4,0)),Puntuaciones!$I$15:$N$67,6,0)</f>
        <v>Mayor exposición de la Lotería al riesgo de LA/FT/FPADM.
Deterioro de los procesos operativos.
Pérdida de reputación.
Procesos judiciales, disciplinarios y/o legales.
Sanciones del supervisor, regulador y/o entes de control.
Pérdida de mercado.
Evento de contagio que afecte a la Lotería por el efecto rebote.</v>
      </c>
      <c r="P48" s="73"/>
      <c r="Q48" s="90"/>
      <c r="R48" s="90"/>
      <c r="S48" s="90"/>
      <c r="T48" s="90"/>
      <c r="U48" s="91"/>
      <c r="V48" s="77"/>
      <c r="W48" s="78"/>
      <c r="X48" s="79"/>
      <c r="AB48" s="23"/>
      <c r="AC48" s="23"/>
      <c r="AH48" s="3"/>
    </row>
    <row r="49" spans="2:34" s="21" customFormat="1" ht="94.5" customHeight="1" x14ac:dyDescent="0.3">
      <c r="B49" s="74"/>
      <c r="C49" s="74" t="s">
        <v>199</v>
      </c>
      <c r="D49" s="74" t="s">
        <v>342</v>
      </c>
      <c r="E49" s="74">
        <f t="shared" si="3"/>
        <v>43</v>
      </c>
      <c r="F49" s="74" t="s">
        <v>284</v>
      </c>
      <c r="G49" s="92" t="str">
        <f>IFERROR(VLOOKUP($C49,Tablas1!$B$3:$C$22,2,0),"ERROR")</f>
        <v>ERROR</v>
      </c>
      <c r="H49" s="93" t="str">
        <f>IFERROR(VLOOKUP(F49,Tablas1!$H$2:$I$14,2,0),"ERROR")</f>
        <v>ERROR</v>
      </c>
      <c r="I49" s="92" t="s">
        <v>337</v>
      </c>
      <c r="J49" s="76"/>
      <c r="K49" s="76"/>
      <c r="L49" s="76"/>
      <c r="M49" s="76" t="s">
        <v>200</v>
      </c>
      <c r="N49" s="75" t="s">
        <v>373</v>
      </c>
      <c r="O49" s="75" t="str">
        <f>VLOOKUP(CONCATENATE(IF(J49="X",1,0),IF(K49="X",2,0),IF(L49="X",3,0),IF(M49="X",4,0)),Puntuaciones!$I$15:$N$67,6,0)</f>
        <v>Mayor exposición de la Lotería al riesgo de LA/FT/FPADM.
Deterioro de los procesos operativos.</v>
      </c>
      <c r="P49" s="73"/>
      <c r="Q49" s="90"/>
      <c r="R49" s="90"/>
      <c r="S49" s="90"/>
      <c r="T49" s="90"/>
      <c r="U49" s="91"/>
      <c r="V49" s="77"/>
      <c r="W49" s="78"/>
      <c r="X49" s="79"/>
      <c r="AB49" s="23"/>
      <c r="AC49" s="23"/>
      <c r="AH49" s="3"/>
    </row>
    <row r="50" spans="2:34" s="21" customFormat="1" ht="94.5" customHeight="1" x14ac:dyDescent="0.3">
      <c r="B50" s="74"/>
      <c r="C50" s="74" t="s">
        <v>199</v>
      </c>
      <c r="D50" s="74" t="s">
        <v>342</v>
      </c>
      <c r="E50" s="74">
        <f t="shared" si="3"/>
        <v>44</v>
      </c>
      <c r="F50" s="74" t="s">
        <v>284</v>
      </c>
      <c r="G50" s="92" t="str">
        <f>IFERROR(VLOOKUP($C50,Tablas1!$B$3:$C$22,2,0),"ERROR")</f>
        <v>ERROR</v>
      </c>
      <c r="H50" s="93" t="str">
        <f>IFERROR(VLOOKUP(F50,Tablas1!$H$2:$I$14,2,0),"ERROR")</f>
        <v>ERROR</v>
      </c>
      <c r="I50" s="75" t="s">
        <v>331</v>
      </c>
      <c r="J50" s="76"/>
      <c r="K50" s="76" t="s">
        <v>200</v>
      </c>
      <c r="L50" s="76" t="s">
        <v>200</v>
      </c>
      <c r="M50" s="76" t="s">
        <v>200</v>
      </c>
      <c r="N50" s="75" t="s">
        <v>373</v>
      </c>
      <c r="O50" s="75" t="str">
        <f>VLOOKUP(CONCATENATE(IF(J50="X",1,0),IF(K50="X",2,0),IF(L50="X",3,0),IF(M50="X",4,0)),Puntuaciones!$I$15:$N$67,6,0)</f>
        <v>Mayor exposición de la Lotería al riesgo de LA/FT/FPADM.
Deterioro de los procesos operativos.
Pérdida de reputación.
Procesos judiciales, disciplinarios y/o legales.
Sanciones del supervisor, regulador y/o entes de control.
Pérdida de mercado.</v>
      </c>
      <c r="P50" s="73"/>
      <c r="Q50" s="90"/>
      <c r="R50" s="90"/>
      <c r="S50" s="90"/>
      <c r="T50" s="90"/>
      <c r="U50" s="91"/>
      <c r="V50" s="77"/>
      <c r="W50" s="78"/>
      <c r="X50" s="79"/>
      <c r="AB50" s="23"/>
      <c r="AC50" s="23"/>
      <c r="AH50" s="3"/>
    </row>
    <row r="51" spans="2:34" s="21" customFormat="1" ht="94.5" customHeight="1" x14ac:dyDescent="0.3">
      <c r="B51" s="74"/>
      <c r="C51" s="74" t="s">
        <v>199</v>
      </c>
      <c r="D51" s="74" t="s">
        <v>342</v>
      </c>
      <c r="E51" s="74">
        <f t="shared" si="3"/>
        <v>45</v>
      </c>
      <c r="F51" s="74" t="s">
        <v>284</v>
      </c>
      <c r="G51" s="92" t="str">
        <f>IFERROR(VLOOKUP($C51,Tablas1!$B$3:$C$22,2,0),"ERROR")</f>
        <v>ERROR</v>
      </c>
      <c r="H51" s="93" t="str">
        <f>IFERROR(VLOOKUP(F51,Tablas1!$H$2:$I$14,2,0),"ERROR")</f>
        <v>ERROR</v>
      </c>
      <c r="I51" s="75" t="s">
        <v>343</v>
      </c>
      <c r="J51" s="76" t="s">
        <v>200</v>
      </c>
      <c r="K51" s="76" t="s">
        <v>200</v>
      </c>
      <c r="L51" s="76" t="s">
        <v>200</v>
      </c>
      <c r="M51" s="76" t="s">
        <v>200</v>
      </c>
      <c r="N51" s="75" t="s">
        <v>349</v>
      </c>
      <c r="O51" s="75" t="str">
        <f>VLOOKUP(CONCATENATE(IF(J51="X",1,0),IF(K51="X",2,0),IF(L51="X",3,0),IF(M51="X",4,0)),Puntuaciones!$I$15:$N$67,6,0)</f>
        <v>Mayor exposición de la Lotería al riesgo de LA/FT/FPADM.
Deterioro de los procesos operativos.
Pérdida de reputación.
Procesos judiciales, disciplinarios y/o legales.
Sanciones del supervisor, regulador y/o entes de control.
Pérdida de mercado.
Evento de contagio que afecte a la Lotería por el efecto rebote.</v>
      </c>
      <c r="P51" s="73"/>
      <c r="Q51" s="90"/>
      <c r="R51" s="90"/>
      <c r="S51" s="90"/>
      <c r="T51" s="90"/>
      <c r="U51" s="91"/>
      <c r="V51" s="77"/>
      <c r="W51" s="78"/>
      <c r="X51" s="79"/>
      <c r="AB51" s="23"/>
      <c r="AC51" s="23"/>
      <c r="AH51" s="3"/>
    </row>
    <row r="52" spans="2:34" s="21" customFormat="1" ht="94.5" customHeight="1" x14ac:dyDescent="0.3">
      <c r="B52" s="74"/>
      <c r="C52" s="74" t="s">
        <v>199</v>
      </c>
      <c r="D52" s="74" t="s">
        <v>342</v>
      </c>
      <c r="E52" s="74">
        <f t="shared" si="3"/>
        <v>46</v>
      </c>
      <c r="F52" s="74" t="s">
        <v>284</v>
      </c>
      <c r="G52" s="92" t="str">
        <f>IFERROR(VLOOKUP($C52,Tablas1!$B$3:$C$22,2,0),"ERROR")</f>
        <v>ERROR</v>
      </c>
      <c r="H52" s="93" t="str">
        <f>IFERROR(VLOOKUP(F52,Tablas1!$H$2:$I$14,2,0),"ERROR")</f>
        <v>ERROR</v>
      </c>
      <c r="I52" s="75" t="s">
        <v>344</v>
      </c>
      <c r="J52" s="76" t="s">
        <v>200</v>
      </c>
      <c r="K52" s="76" t="s">
        <v>200</v>
      </c>
      <c r="L52" s="76" t="s">
        <v>200</v>
      </c>
      <c r="M52" s="76" t="s">
        <v>200</v>
      </c>
      <c r="N52" s="75" t="s">
        <v>349</v>
      </c>
      <c r="O52" s="75" t="str">
        <f>VLOOKUP(CONCATENATE(IF(J52="X",1,0),IF(K52="X",2,0),IF(L52="X",3,0),IF(M52="X",4,0)),Puntuaciones!$I$15:$N$67,6,0)</f>
        <v>Mayor exposición de la Lotería al riesgo de LA/FT/FPADM.
Deterioro de los procesos operativos.
Pérdida de reputación.
Procesos judiciales, disciplinarios y/o legales.
Sanciones del supervisor, regulador y/o entes de control.
Pérdida de mercado.
Evento de contagio que afecte a la Lotería por el efecto rebote.</v>
      </c>
      <c r="P52" s="73"/>
      <c r="Q52" s="90"/>
      <c r="R52" s="90"/>
      <c r="S52" s="90"/>
      <c r="T52" s="90"/>
      <c r="U52" s="91"/>
      <c r="V52" s="77"/>
      <c r="W52" s="78"/>
      <c r="X52" s="79"/>
      <c r="AB52" s="23"/>
      <c r="AC52" s="23"/>
      <c r="AH52" s="3"/>
    </row>
    <row r="53" spans="2:34" s="21" customFormat="1" ht="94.5" customHeight="1" x14ac:dyDescent="0.3">
      <c r="B53" s="74"/>
      <c r="C53" s="74" t="s">
        <v>199</v>
      </c>
      <c r="D53" s="74" t="s">
        <v>342</v>
      </c>
      <c r="E53" s="74">
        <f t="shared" si="3"/>
        <v>47</v>
      </c>
      <c r="F53" s="74" t="s">
        <v>284</v>
      </c>
      <c r="G53" s="92" t="str">
        <f>IFERROR(VLOOKUP($C53,Tablas1!$B$3:$C$22,2,0),"ERROR")</f>
        <v>ERROR</v>
      </c>
      <c r="H53" s="93" t="str">
        <f>IFERROR(VLOOKUP(F53,Tablas1!$H$2:$I$14,2,0),"ERROR")</f>
        <v>ERROR</v>
      </c>
      <c r="I53" s="75" t="s">
        <v>345</v>
      </c>
      <c r="J53" s="76"/>
      <c r="K53" s="76" t="s">
        <v>200</v>
      </c>
      <c r="L53" s="76" t="s">
        <v>200</v>
      </c>
      <c r="M53" s="76" t="s">
        <v>200</v>
      </c>
      <c r="N53" s="74" t="s">
        <v>219</v>
      </c>
      <c r="O53" s="75" t="str">
        <f>VLOOKUP(CONCATENATE(IF(J53="X",1,0),IF(K53="X",2,0),IF(L53="X",3,0),IF(M53="X",4,0)),Puntuaciones!$I$15:$N$67,6,0)</f>
        <v>Mayor exposición de la Lotería al riesgo de LA/FT/FPADM.
Deterioro de los procesos operativos.
Pérdida de reputación.
Procesos judiciales, disciplinarios y/o legales.
Sanciones del supervisor, regulador y/o entes de control.
Pérdida de mercado.</v>
      </c>
      <c r="P53" s="73"/>
      <c r="Q53" s="90"/>
      <c r="R53" s="90"/>
      <c r="S53" s="90"/>
      <c r="T53" s="90"/>
      <c r="U53" s="91"/>
      <c r="V53" s="77"/>
      <c r="W53" s="78"/>
      <c r="X53" s="79"/>
      <c r="AB53" s="23"/>
      <c r="AC53" s="23"/>
      <c r="AH53" s="3"/>
    </row>
    <row r="54" spans="2:34" s="21" customFormat="1" ht="93.75" customHeight="1" x14ac:dyDescent="0.3">
      <c r="B54" s="74"/>
      <c r="C54" s="74" t="s">
        <v>199</v>
      </c>
      <c r="D54" s="74" t="s">
        <v>262</v>
      </c>
      <c r="E54" s="74">
        <f t="shared" si="3"/>
        <v>48</v>
      </c>
      <c r="F54" s="74" t="s">
        <v>284</v>
      </c>
      <c r="G54" s="92" t="str">
        <f>IFERROR(VLOOKUP($C54,Tablas1!$B$3:$C$22,2,0),"ERROR")</f>
        <v>ERROR</v>
      </c>
      <c r="H54" s="93" t="str">
        <f>IFERROR(VLOOKUP(F54,Tablas1!$H$2:$I$14,2,0),"ERROR")</f>
        <v>ERROR</v>
      </c>
      <c r="I54" s="75" t="s">
        <v>346</v>
      </c>
      <c r="J54" s="76" t="s">
        <v>200</v>
      </c>
      <c r="K54" s="76" t="s">
        <v>200</v>
      </c>
      <c r="L54" s="76" t="s">
        <v>200</v>
      </c>
      <c r="M54" s="76" t="s">
        <v>200</v>
      </c>
      <c r="N54" s="75" t="s">
        <v>218</v>
      </c>
      <c r="O54" s="75" t="str">
        <f>VLOOKUP(CONCATENATE(IF(J54="X",1,0),IF(K54="X",2,0),IF(L54="X",3,0),IF(M54="X",4,0)),Puntuaciones!$I$15:$N$67,6,0)</f>
        <v>Mayor exposición de la Lotería al riesgo de LA/FT/FPADM.
Deterioro de los procesos operativos.
Pérdida de reputación.
Procesos judiciales, disciplinarios y/o legales.
Sanciones del supervisor, regulador y/o entes de control.
Pérdida de mercado.
Evento de contagio que afecte a la Lotería por el efecto rebote.</v>
      </c>
      <c r="P54" s="73"/>
      <c r="Q54" s="90"/>
      <c r="R54" s="90"/>
      <c r="S54" s="90"/>
      <c r="T54" s="90"/>
      <c r="U54" s="91"/>
      <c r="V54" s="77"/>
      <c r="W54" s="78" t="str">
        <f t="shared" si="1"/>
        <v/>
      </c>
      <c r="X54" s="79" t="str">
        <f t="shared" ref="X54" si="4">IFERROR(VLOOKUP(W54,RIEGO,2,FALSE),"")</f>
        <v/>
      </c>
      <c r="AB54" s="23"/>
      <c r="AC54" s="23"/>
      <c r="AH54" s="3"/>
    </row>
    <row r="55" spans="2:34" s="21" customFormat="1" ht="98.25" customHeight="1" x14ac:dyDescent="0.3">
      <c r="B55" s="74"/>
      <c r="C55" s="74" t="s">
        <v>199</v>
      </c>
      <c r="D55" s="74" t="s">
        <v>263</v>
      </c>
      <c r="E55" s="74">
        <f t="shared" si="3"/>
        <v>49</v>
      </c>
      <c r="F55" s="74" t="s">
        <v>284</v>
      </c>
      <c r="G55" s="92" t="str">
        <f>IFERROR(VLOOKUP($C55,Tablas1!$B$3:$C$22,2,0),"ERROR")</f>
        <v>ERROR</v>
      </c>
      <c r="H55" s="93" t="str">
        <f>IFERROR(VLOOKUP(F55,Tablas1!$H$2:$I$14,2,0),"ERROR")</f>
        <v>ERROR</v>
      </c>
      <c r="I55" s="92" t="s">
        <v>347</v>
      </c>
      <c r="J55" s="76" t="s">
        <v>200</v>
      </c>
      <c r="K55" s="76" t="s">
        <v>200</v>
      </c>
      <c r="L55" s="76" t="s">
        <v>200</v>
      </c>
      <c r="M55" s="76" t="s">
        <v>200</v>
      </c>
      <c r="N55" s="75" t="s">
        <v>319</v>
      </c>
      <c r="O55" s="75" t="str">
        <f>VLOOKUP(CONCATENATE(IF(J55="X",1,0),IF(K55="X",2,0),IF(L55="X",3,0),IF(M55="X",4,0)),Puntuaciones!$I$15:$N$67,6,0)</f>
        <v>Mayor exposición de la Lotería al riesgo de LA/FT/FPADM.
Deterioro de los procesos operativos.
Pérdida de reputación.
Procesos judiciales, disciplinarios y/o legales.
Sanciones del supervisor, regulador y/o entes de control.
Pérdida de mercado.
Evento de contagio que afecte a la Lotería por el efecto rebote.</v>
      </c>
      <c r="P55" s="73"/>
      <c r="Q55" s="90"/>
      <c r="R55" s="90"/>
      <c r="S55" s="90"/>
      <c r="T55" s="90"/>
      <c r="U55" s="91"/>
      <c r="V55" s="77"/>
      <c r="W55" s="78"/>
      <c r="X55" s="79"/>
      <c r="AB55" s="23"/>
      <c r="AC55" s="23"/>
      <c r="AH55" s="3"/>
    </row>
    <row r="56" spans="2:34" s="21" customFormat="1" ht="98.25" customHeight="1" x14ac:dyDescent="0.3">
      <c r="B56" s="74"/>
      <c r="C56" s="74" t="s">
        <v>227</v>
      </c>
      <c r="D56" s="74" t="s">
        <v>227</v>
      </c>
      <c r="E56" s="74">
        <f t="shared" si="3"/>
        <v>50</v>
      </c>
      <c r="F56" s="74" t="s">
        <v>242</v>
      </c>
      <c r="G56" s="92" t="str">
        <f>IFERROR(VLOOKUP($C56,Tablas1!$B$3:$C$22,2,0),"ERROR")</f>
        <v>ERROR</v>
      </c>
      <c r="H56" s="93" t="str">
        <f>IFERROR(VLOOKUP(F56,Tablas1!$H$2:$I$14,2,0),"ERROR")</f>
        <v>FAC5</v>
      </c>
      <c r="I56" s="75" t="s">
        <v>352</v>
      </c>
      <c r="J56" s="76" t="s">
        <v>200</v>
      </c>
      <c r="K56" s="76" t="s">
        <v>200</v>
      </c>
      <c r="L56" s="76" t="s">
        <v>200</v>
      </c>
      <c r="M56" s="76" t="s">
        <v>200</v>
      </c>
      <c r="N56" s="74" t="s">
        <v>375</v>
      </c>
      <c r="O56" s="75" t="str">
        <f>VLOOKUP(CONCATENATE(IF(J56="X",1,0),IF(K56="X",2,0),IF(L56="X",3,0),IF(M56="X",4,0)),Puntuaciones!$I$15:$N$67,6,0)</f>
        <v>Mayor exposición de la Lotería al riesgo de LA/FT/FPADM.
Deterioro de los procesos operativos.
Pérdida de reputación.
Procesos judiciales, disciplinarios y/o legales.
Sanciones del supervisor, regulador y/o entes de control.
Pérdida de mercado.
Evento de contagio que afecte a la Lotería por el efecto rebote.</v>
      </c>
      <c r="P56" s="73">
        <v>4</v>
      </c>
      <c r="Q56" s="90">
        <v>4</v>
      </c>
      <c r="R56" s="90"/>
      <c r="S56" s="90"/>
      <c r="T56" s="90"/>
      <c r="U56" s="91"/>
      <c r="V56" s="77"/>
      <c r="W56" s="78"/>
      <c r="X56" s="79"/>
      <c r="AB56" s="23"/>
      <c r="AC56" s="23"/>
      <c r="AH56" s="3"/>
    </row>
    <row r="57" spans="2:34" s="21" customFormat="1" ht="98.25" customHeight="1" x14ac:dyDescent="0.3">
      <c r="B57" s="74"/>
      <c r="C57" s="74" t="s">
        <v>227</v>
      </c>
      <c r="D57" s="74" t="s">
        <v>227</v>
      </c>
      <c r="E57" s="74">
        <f t="shared" si="3"/>
        <v>51</v>
      </c>
      <c r="F57" s="74" t="s">
        <v>240</v>
      </c>
      <c r="G57" s="92" t="str">
        <f>IFERROR(VLOOKUP($C57,Tablas1!$B$3:$C$22,2,0),"ERROR")</f>
        <v>ERROR</v>
      </c>
      <c r="H57" s="93" t="str">
        <f>IFERROR(VLOOKUP(F57,Tablas1!$H$2:$I$14,2,0),"ERROR")</f>
        <v>ERROR</v>
      </c>
      <c r="I57" s="75" t="s">
        <v>352</v>
      </c>
      <c r="J57" s="76" t="s">
        <v>200</v>
      </c>
      <c r="K57" s="76" t="s">
        <v>200</v>
      </c>
      <c r="L57" s="76" t="s">
        <v>200</v>
      </c>
      <c r="M57" s="76" t="s">
        <v>200</v>
      </c>
      <c r="N57" s="74" t="s">
        <v>375</v>
      </c>
      <c r="O57" s="75" t="str">
        <f>VLOOKUP(CONCATENATE(IF(J57="X",1,0),IF(K57="X",2,0),IF(L57="X",3,0),IF(M57="X",4,0)),Puntuaciones!$I$15:$N$67,6,0)</f>
        <v>Mayor exposición de la Lotería al riesgo de LA/FT/FPADM.
Deterioro de los procesos operativos.
Pérdida de reputación.
Procesos judiciales, disciplinarios y/o legales.
Sanciones del supervisor, regulador y/o entes de control.
Pérdida de mercado.
Evento de contagio que afecte a la Lotería por el efecto rebote.</v>
      </c>
      <c r="P57" s="73"/>
      <c r="Q57" s="90"/>
      <c r="R57" s="90"/>
      <c r="S57" s="90"/>
      <c r="T57" s="90"/>
      <c r="U57" s="91"/>
      <c r="V57" s="77"/>
      <c r="W57" s="78"/>
      <c r="X57" s="79"/>
      <c r="AB57" s="23"/>
      <c r="AC57" s="23"/>
      <c r="AH57" s="3"/>
    </row>
    <row r="58" spans="2:34" s="21" customFormat="1" ht="98.25" customHeight="1" x14ac:dyDescent="0.3">
      <c r="B58" s="74"/>
      <c r="C58" s="74" t="s">
        <v>227</v>
      </c>
      <c r="D58" s="74" t="s">
        <v>227</v>
      </c>
      <c r="E58" s="74">
        <f t="shared" si="3"/>
        <v>52</v>
      </c>
      <c r="F58" s="74" t="s">
        <v>284</v>
      </c>
      <c r="G58" s="92" t="str">
        <f>IFERROR(VLOOKUP($C58,Tablas1!$B$3:$C$22,2,0),"ERROR")</f>
        <v>ERROR</v>
      </c>
      <c r="H58" s="93" t="str">
        <f>IFERROR(VLOOKUP(F58,Tablas1!$H$2:$I$14,2,0),"ERROR")</f>
        <v>ERROR</v>
      </c>
      <c r="I58" s="75" t="s">
        <v>352</v>
      </c>
      <c r="J58" s="76" t="s">
        <v>200</v>
      </c>
      <c r="K58" s="76" t="s">
        <v>200</v>
      </c>
      <c r="L58" s="76" t="s">
        <v>200</v>
      </c>
      <c r="M58" s="76" t="s">
        <v>200</v>
      </c>
      <c r="N58" s="74" t="s">
        <v>375</v>
      </c>
      <c r="O58" s="75" t="str">
        <f>VLOOKUP(CONCATENATE(IF(J58="X",1,0),IF(K58="X",2,0),IF(L58="X",3,0),IF(M58="X",4,0)),Puntuaciones!$I$15:$N$67,6,0)</f>
        <v>Mayor exposición de la Lotería al riesgo de LA/FT/FPADM.
Deterioro de los procesos operativos.
Pérdida de reputación.
Procesos judiciales, disciplinarios y/o legales.
Sanciones del supervisor, regulador y/o entes de control.
Pérdida de mercado.
Evento de contagio que afecte a la Lotería por el efecto rebote.</v>
      </c>
      <c r="P58" s="73"/>
      <c r="Q58" s="90"/>
      <c r="R58" s="90"/>
      <c r="S58" s="90"/>
      <c r="T58" s="90"/>
      <c r="U58" s="91"/>
      <c r="V58" s="77"/>
      <c r="W58" s="78"/>
      <c r="X58" s="79"/>
      <c r="AB58" s="23"/>
      <c r="AC58" s="23"/>
      <c r="AH58" s="3"/>
    </row>
    <row r="59" spans="2:34" s="21" customFormat="1" ht="98.25" customHeight="1" x14ac:dyDescent="0.3">
      <c r="B59" s="74"/>
      <c r="C59" s="74" t="s">
        <v>227</v>
      </c>
      <c r="D59" s="74" t="s">
        <v>227</v>
      </c>
      <c r="E59" s="74">
        <f t="shared" si="3"/>
        <v>53</v>
      </c>
      <c r="F59" s="74" t="s">
        <v>241</v>
      </c>
      <c r="G59" s="92" t="str">
        <f>IFERROR(VLOOKUP($C59,Tablas1!$B$3:$C$22,2,0),"ERROR")</f>
        <v>ERROR</v>
      </c>
      <c r="H59" s="93" t="str">
        <f>IFERROR(VLOOKUP(F59,Tablas1!$H$2:$I$14,2,0),"ERROR")</f>
        <v>ERROR</v>
      </c>
      <c r="I59" s="75" t="s">
        <v>352</v>
      </c>
      <c r="J59" s="76" t="s">
        <v>200</v>
      </c>
      <c r="K59" s="76" t="s">
        <v>200</v>
      </c>
      <c r="L59" s="76" t="s">
        <v>200</v>
      </c>
      <c r="M59" s="76" t="s">
        <v>200</v>
      </c>
      <c r="N59" s="74" t="s">
        <v>375</v>
      </c>
      <c r="O59" s="75" t="str">
        <f>VLOOKUP(CONCATENATE(IF(J59="X",1,0),IF(K59="X",2,0),IF(L59="X",3,0),IF(M59="X",4,0)),Puntuaciones!$I$15:$N$67,6,0)</f>
        <v>Mayor exposición de la Lotería al riesgo de LA/FT/FPADM.
Deterioro de los procesos operativos.
Pérdida de reputación.
Procesos judiciales, disciplinarios y/o legales.
Sanciones del supervisor, regulador y/o entes de control.
Pérdida de mercado.
Evento de contagio que afecte a la Lotería por el efecto rebote.</v>
      </c>
      <c r="P59" s="73"/>
      <c r="Q59" s="90"/>
      <c r="R59" s="90"/>
      <c r="S59" s="90"/>
      <c r="T59" s="90"/>
      <c r="U59" s="91"/>
      <c r="V59" s="77"/>
      <c r="W59" s="78"/>
      <c r="X59" s="79"/>
      <c r="AB59" s="23"/>
      <c r="AC59" s="23"/>
      <c r="AH59" s="3"/>
    </row>
    <row r="60" spans="2:34" s="21" customFormat="1" ht="98.25" customHeight="1" x14ac:dyDescent="0.3">
      <c r="B60" s="74"/>
      <c r="C60" s="74" t="s">
        <v>227</v>
      </c>
      <c r="D60" s="74" t="s">
        <v>264</v>
      </c>
      <c r="E60" s="74">
        <f t="shared" si="3"/>
        <v>54</v>
      </c>
      <c r="F60" s="74" t="s">
        <v>284</v>
      </c>
      <c r="G60" s="92" t="str">
        <f>IFERROR(VLOOKUP($C60,Tablas1!$B$3:$C$22,2,0),"ERROR")</f>
        <v>ERROR</v>
      </c>
      <c r="H60" s="93" t="str">
        <f>IFERROR(VLOOKUP(F60,Tablas1!$H$2:$I$14,2,0),"ERROR")</f>
        <v>ERROR</v>
      </c>
      <c r="I60" s="75" t="s">
        <v>353</v>
      </c>
      <c r="J60" s="76"/>
      <c r="K60" s="76" t="s">
        <v>200</v>
      </c>
      <c r="L60" s="76" t="s">
        <v>200</v>
      </c>
      <c r="M60" s="76" t="s">
        <v>200</v>
      </c>
      <c r="N60" s="74" t="s">
        <v>376</v>
      </c>
      <c r="O60" s="75" t="str">
        <f>VLOOKUP(CONCATENATE(IF(J60="X",1,0),IF(K60="X",2,0),IF(L60="X",3,0),IF(M60="X",4,0)),Puntuaciones!$I$15:$N$67,6,0)</f>
        <v>Mayor exposición de la Lotería al riesgo de LA/FT/FPADM.
Deterioro de los procesos operativos.
Pérdida de reputación.
Procesos judiciales, disciplinarios y/o legales.
Sanciones del supervisor, regulador y/o entes de control.
Pérdida de mercado.</v>
      </c>
      <c r="P60" s="73"/>
      <c r="Q60" s="90"/>
      <c r="R60" s="90"/>
      <c r="S60" s="90"/>
      <c r="T60" s="90"/>
      <c r="U60" s="91"/>
      <c r="V60" s="77"/>
      <c r="W60" s="78"/>
      <c r="X60" s="79"/>
      <c r="AB60" s="23"/>
      <c r="AC60" s="23"/>
      <c r="AH60" s="3"/>
    </row>
    <row r="61" spans="2:34" s="21" customFormat="1" ht="98.25" customHeight="1" x14ac:dyDescent="0.3">
      <c r="B61" s="74"/>
      <c r="C61" s="74" t="s">
        <v>227</v>
      </c>
      <c r="D61" s="74" t="s">
        <v>265</v>
      </c>
      <c r="E61" s="74">
        <f t="shared" si="3"/>
        <v>55</v>
      </c>
      <c r="F61" s="74" t="s">
        <v>242</v>
      </c>
      <c r="G61" s="92" t="str">
        <f>IFERROR(VLOOKUP($C61,Tablas1!$B$3:$C$22,2,0),"ERROR")</f>
        <v>ERROR</v>
      </c>
      <c r="H61" s="93" t="str">
        <f>IFERROR(VLOOKUP(F61,Tablas1!$H$2:$I$14,2,0),"ERROR")</f>
        <v>FAC5</v>
      </c>
      <c r="I61" s="75" t="s">
        <v>351</v>
      </c>
      <c r="J61" s="76"/>
      <c r="K61" s="76" t="s">
        <v>200</v>
      </c>
      <c r="L61" s="76" t="s">
        <v>200</v>
      </c>
      <c r="M61" s="76" t="s">
        <v>200</v>
      </c>
      <c r="N61" s="74" t="s">
        <v>377</v>
      </c>
      <c r="O61" s="75" t="str">
        <f>VLOOKUP(CONCATENATE(IF(J61="X",1,0),IF(K61="X",2,0),IF(L61="X",3,0),IF(M61="X",4,0)),Puntuaciones!$I$15:$N$67,6,0)</f>
        <v>Mayor exposición de la Lotería al riesgo de LA/FT/FPADM.
Deterioro de los procesos operativos.
Pérdida de reputación.
Procesos judiciales, disciplinarios y/o legales.
Sanciones del supervisor, regulador y/o entes de control.
Pérdida de mercado.</v>
      </c>
      <c r="P61" s="73"/>
      <c r="Q61" s="90"/>
      <c r="R61" s="90"/>
      <c r="S61" s="90"/>
      <c r="T61" s="90"/>
      <c r="U61" s="91"/>
      <c r="V61" s="77"/>
      <c r="W61" s="78"/>
      <c r="X61" s="79"/>
      <c r="AB61" s="23"/>
      <c r="AC61" s="23"/>
      <c r="AH61" s="3"/>
    </row>
    <row r="62" spans="2:34" s="21" customFormat="1" ht="98.25" customHeight="1" x14ac:dyDescent="0.3">
      <c r="B62" s="74"/>
      <c r="C62" s="74" t="s">
        <v>227</v>
      </c>
      <c r="D62" s="74" t="s">
        <v>265</v>
      </c>
      <c r="E62" s="74">
        <f t="shared" si="3"/>
        <v>56</v>
      </c>
      <c r="F62" s="74" t="s">
        <v>240</v>
      </c>
      <c r="G62" s="92" t="str">
        <f>IFERROR(VLOOKUP($C62,Tablas1!$B$3:$C$22,2,0),"ERROR")</f>
        <v>ERROR</v>
      </c>
      <c r="H62" s="93" t="str">
        <f>IFERROR(VLOOKUP(F62,Tablas1!$H$2:$I$14,2,0),"ERROR")</f>
        <v>ERROR</v>
      </c>
      <c r="I62" s="75" t="s">
        <v>351</v>
      </c>
      <c r="J62" s="76"/>
      <c r="K62" s="76" t="s">
        <v>200</v>
      </c>
      <c r="L62" s="76" t="s">
        <v>200</v>
      </c>
      <c r="M62" s="76" t="s">
        <v>200</v>
      </c>
      <c r="N62" s="74" t="s">
        <v>377</v>
      </c>
      <c r="O62" s="75" t="str">
        <f>VLOOKUP(CONCATENATE(IF(J62="X",1,0),IF(K62="X",2,0),IF(L62="X",3,0),IF(M62="X",4,0)),Puntuaciones!$I$15:$N$67,6,0)</f>
        <v>Mayor exposición de la Lotería al riesgo de LA/FT/FPADM.
Deterioro de los procesos operativos.
Pérdida de reputación.
Procesos judiciales, disciplinarios y/o legales.
Sanciones del supervisor, regulador y/o entes de control.
Pérdida de mercado.</v>
      </c>
      <c r="P62" s="73"/>
      <c r="Q62" s="90"/>
      <c r="R62" s="90"/>
      <c r="S62" s="90"/>
      <c r="T62" s="90"/>
      <c r="U62" s="91"/>
      <c r="V62" s="77"/>
      <c r="W62" s="78"/>
      <c r="X62" s="79"/>
      <c r="AB62" s="23"/>
      <c r="AC62" s="23"/>
      <c r="AH62" s="3"/>
    </row>
    <row r="63" spans="2:34" s="21" customFormat="1" ht="98.25" customHeight="1" x14ac:dyDescent="0.3">
      <c r="B63" s="74"/>
      <c r="C63" s="74" t="s">
        <v>227</v>
      </c>
      <c r="D63" s="74" t="s">
        <v>265</v>
      </c>
      <c r="E63" s="74">
        <f t="shared" si="3"/>
        <v>57</v>
      </c>
      <c r="F63" s="74" t="s">
        <v>284</v>
      </c>
      <c r="G63" s="92" t="str">
        <f>IFERROR(VLOOKUP($C63,Tablas1!$B$3:$C$22,2,0),"ERROR")</f>
        <v>ERROR</v>
      </c>
      <c r="H63" s="93" t="str">
        <f>IFERROR(VLOOKUP(F63,Tablas1!$H$2:$I$14,2,0),"ERROR")</f>
        <v>ERROR</v>
      </c>
      <c r="I63" s="75" t="s">
        <v>351</v>
      </c>
      <c r="J63" s="76"/>
      <c r="K63" s="76" t="s">
        <v>200</v>
      </c>
      <c r="L63" s="76" t="s">
        <v>200</v>
      </c>
      <c r="M63" s="76" t="s">
        <v>200</v>
      </c>
      <c r="N63" s="74" t="s">
        <v>377</v>
      </c>
      <c r="O63" s="75" t="str">
        <f>VLOOKUP(CONCATENATE(IF(J63="X",1,0),IF(K63="X",2,0),IF(L63="X",3,0),IF(M63="X",4,0)),Puntuaciones!$I$15:$N$67,6,0)</f>
        <v>Mayor exposición de la Lotería al riesgo de LA/FT/FPADM.
Deterioro de los procesos operativos.
Pérdida de reputación.
Procesos judiciales, disciplinarios y/o legales.
Sanciones del supervisor, regulador y/o entes de control.
Pérdida de mercado.</v>
      </c>
      <c r="P63" s="73"/>
      <c r="Q63" s="90"/>
      <c r="R63" s="90"/>
      <c r="S63" s="90"/>
      <c r="T63" s="90"/>
      <c r="U63" s="91"/>
      <c r="V63" s="77"/>
      <c r="W63" s="78"/>
      <c r="X63" s="79"/>
      <c r="AB63" s="23"/>
      <c r="AC63" s="23"/>
      <c r="AH63" s="3"/>
    </row>
    <row r="64" spans="2:34" s="21" customFormat="1" ht="98.25" customHeight="1" x14ac:dyDescent="0.3">
      <c r="B64" s="74"/>
      <c r="C64" s="74" t="s">
        <v>227</v>
      </c>
      <c r="D64" s="74" t="s">
        <v>265</v>
      </c>
      <c r="E64" s="74">
        <f t="shared" si="3"/>
        <v>58</v>
      </c>
      <c r="F64" s="74" t="s">
        <v>241</v>
      </c>
      <c r="G64" s="92" t="str">
        <f>IFERROR(VLOOKUP($C64,Tablas1!$B$3:$C$22,2,0),"ERROR")</f>
        <v>ERROR</v>
      </c>
      <c r="H64" s="93" t="str">
        <f>IFERROR(VLOOKUP(F64,Tablas1!$H$2:$I$14,2,0),"ERROR")</f>
        <v>ERROR</v>
      </c>
      <c r="I64" s="75" t="s">
        <v>351</v>
      </c>
      <c r="J64" s="76"/>
      <c r="K64" s="76" t="s">
        <v>200</v>
      </c>
      <c r="L64" s="76" t="s">
        <v>200</v>
      </c>
      <c r="M64" s="76" t="s">
        <v>200</v>
      </c>
      <c r="N64" s="74" t="s">
        <v>377</v>
      </c>
      <c r="O64" s="75" t="str">
        <f>VLOOKUP(CONCATENATE(IF(J64="X",1,0),IF(K64="X",2,0),IF(L64="X",3,0),IF(M64="X",4,0)),Puntuaciones!$I$15:$N$67,6,0)</f>
        <v>Mayor exposición de la Lotería al riesgo de LA/FT/FPADM.
Deterioro de los procesos operativos.
Pérdida de reputación.
Procesos judiciales, disciplinarios y/o legales.
Sanciones del supervisor, regulador y/o entes de control.
Pérdida de mercado.</v>
      </c>
      <c r="P64" s="73"/>
      <c r="Q64" s="90"/>
      <c r="R64" s="90"/>
      <c r="S64" s="90"/>
      <c r="T64" s="90"/>
      <c r="U64" s="91"/>
      <c r="V64" s="77"/>
      <c r="W64" s="78"/>
      <c r="X64" s="79"/>
      <c r="AB64" s="23"/>
      <c r="AC64" s="23"/>
      <c r="AH64" s="3"/>
    </row>
    <row r="65" spans="2:34" s="21" customFormat="1" ht="98.25" customHeight="1" x14ac:dyDescent="0.3">
      <c r="B65" s="74"/>
      <c r="C65" s="74" t="s">
        <v>227</v>
      </c>
      <c r="D65" s="74" t="s">
        <v>266</v>
      </c>
      <c r="E65" s="74">
        <f t="shared" si="3"/>
        <v>59</v>
      </c>
      <c r="F65" s="74" t="s">
        <v>240</v>
      </c>
      <c r="G65" s="92" t="str">
        <f>IFERROR(VLOOKUP($C65,Tablas1!$B$3:$C$22,2,0),"ERROR")</f>
        <v>ERROR</v>
      </c>
      <c r="H65" s="93" t="str">
        <f>IFERROR(VLOOKUP(F65,Tablas1!$H$2:$I$14,2,0),"ERROR")</f>
        <v>ERROR</v>
      </c>
      <c r="I65" s="75" t="s">
        <v>354</v>
      </c>
      <c r="J65" s="76" t="s">
        <v>200</v>
      </c>
      <c r="K65" s="76" t="s">
        <v>200</v>
      </c>
      <c r="L65" s="76" t="s">
        <v>200</v>
      </c>
      <c r="M65" s="76" t="s">
        <v>200</v>
      </c>
      <c r="N65" s="74" t="s">
        <v>378</v>
      </c>
      <c r="O65" s="75" t="str">
        <f>VLOOKUP(CONCATENATE(IF(J65="X",1,0),IF(K65="X",2,0),IF(L65="X",3,0),IF(M65="X",4,0)),Puntuaciones!$I$15:$N$67,6,0)</f>
        <v>Mayor exposición de la Lotería al riesgo de LA/FT/FPADM.
Deterioro de los procesos operativos.
Pérdida de reputación.
Procesos judiciales, disciplinarios y/o legales.
Sanciones del supervisor, regulador y/o entes de control.
Pérdida de mercado.
Evento de contagio que afecte a la Lotería por el efecto rebote.</v>
      </c>
      <c r="P65" s="73"/>
      <c r="Q65" s="90"/>
      <c r="R65" s="90"/>
      <c r="S65" s="90"/>
      <c r="T65" s="90"/>
      <c r="U65" s="91"/>
      <c r="V65" s="77"/>
      <c r="W65" s="78"/>
      <c r="X65" s="79"/>
      <c r="AB65" s="23"/>
      <c r="AC65" s="23"/>
      <c r="AH65" s="3"/>
    </row>
    <row r="66" spans="2:34" s="21" customFormat="1" ht="98.25" customHeight="1" x14ac:dyDescent="0.3">
      <c r="B66" s="74"/>
      <c r="C66" s="74" t="s">
        <v>231</v>
      </c>
      <c r="D66" s="74" t="s">
        <v>268</v>
      </c>
      <c r="E66" s="74">
        <f t="shared" si="3"/>
        <v>60</v>
      </c>
      <c r="F66" s="74" t="s">
        <v>284</v>
      </c>
      <c r="G66" s="93" t="str">
        <f>IFERROR(VLOOKUP($C66,Tablas1!$B$3:$C$21,2,0),"ERROR")</f>
        <v>ERROR</v>
      </c>
      <c r="H66" s="93" t="str">
        <f>IFERROR(VLOOKUP(F66,Tablas1!$H$2:$I$14,2,0),"ERROR")</f>
        <v>ERROR</v>
      </c>
      <c r="I66" s="75" t="s">
        <v>355</v>
      </c>
      <c r="J66" s="76"/>
      <c r="K66" s="76" t="s">
        <v>200</v>
      </c>
      <c r="L66" s="76"/>
      <c r="M66" s="76" t="s">
        <v>200</v>
      </c>
      <c r="N66" s="74" t="s">
        <v>379</v>
      </c>
      <c r="O66" s="75" t="str">
        <f>VLOOKUP(CONCATENATE(IF(J66="X",1,0),IF(K66="X",2,0),IF(L66="X",3,0),IF(M66="X",4,0)),Puntuaciones!$I$15:$N$67,6,0)</f>
        <v>Mayor exposición de la Lotería al riesgo de LA/FT/FPADM.
Deterioro de los procesos operativos.
Procesos judiciales, disciplinarios y/o legales.
Sanciones del supervisor, regulador y/o entes de control.</v>
      </c>
      <c r="P66" s="73"/>
      <c r="Q66" s="90"/>
      <c r="R66" s="90"/>
      <c r="S66" s="90"/>
      <c r="T66" s="90"/>
      <c r="U66" s="91"/>
      <c r="V66" s="77"/>
      <c r="W66" s="78"/>
      <c r="X66" s="79"/>
      <c r="AB66" s="23"/>
      <c r="AC66" s="23"/>
      <c r="AH66" s="3"/>
    </row>
    <row r="67" spans="2:34" s="21" customFormat="1" ht="98.25" customHeight="1" x14ac:dyDescent="0.3">
      <c r="B67" s="74"/>
      <c r="C67" s="74" t="s">
        <v>231</v>
      </c>
      <c r="D67" s="74" t="s">
        <v>267</v>
      </c>
      <c r="E67" s="74">
        <f t="shared" si="3"/>
        <v>61</v>
      </c>
      <c r="F67" s="74" t="s">
        <v>284</v>
      </c>
      <c r="G67" s="93" t="str">
        <f>IFERROR(VLOOKUP($C67,Tablas1!$B$3:$C$21,2,0),"ERROR")</f>
        <v>ERROR</v>
      </c>
      <c r="H67" s="93" t="str">
        <f>IFERROR(VLOOKUP(F67,Tablas1!$H$2:$I$14,2,0),"ERROR")</f>
        <v>ERROR</v>
      </c>
      <c r="I67" s="75" t="s">
        <v>356</v>
      </c>
      <c r="J67" s="76"/>
      <c r="K67" s="76" t="s">
        <v>200</v>
      </c>
      <c r="L67" s="76"/>
      <c r="M67" s="76" t="s">
        <v>200</v>
      </c>
      <c r="N67" s="74" t="s">
        <v>379</v>
      </c>
      <c r="O67" s="75" t="str">
        <f>VLOOKUP(CONCATENATE(IF(J67="X",1,0),IF(K67="X",2,0),IF(L67="X",3,0),IF(M67="X",4,0)),Puntuaciones!$I$15:$N$67,6,0)</f>
        <v>Mayor exposición de la Lotería al riesgo de LA/FT/FPADM.
Deterioro de los procesos operativos.
Procesos judiciales, disciplinarios y/o legales.
Sanciones del supervisor, regulador y/o entes de control.</v>
      </c>
      <c r="P67" s="73"/>
      <c r="Q67" s="90"/>
      <c r="R67" s="90"/>
      <c r="S67" s="90"/>
      <c r="T67" s="90"/>
      <c r="U67" s="91"/>
      <c r="V67" s="77"/>
      <c r="W67" s="78"/>
      <c r="X67" s="79"/>
      <c r="AB67" s="23"/>
      <c r="AC67" s="23"/>
      <c r="AH67" s="3"/>
    </row>
    <row r="68" spans="2:34" s="21" customFormat="1" ht="98.25" customHeight="1" x14ac:dyDescent="0.3">
      <c r="B68" s="74"/>
      <c r="C68" s="74" t="s">
        <v>269</v>
      </c>
      <c r="D68" s="74" t="s">
        <v>270</v>
      </c>
      <c r="E68" s="74">
        <f t="shared" si="3"/>
        <v>62</v>
      </c>
      <c r="F68" s="74" t="s">
        <v>242</v>
      </c>
      <c r="G68" s="93" t="str">
        <f>IFERROR(VLOOKUP($C68,Tablas1!$B$3:$C$21,2,0),"ERROR")</f>
        <v>ERROR</v>
      </c>
      <c r="H68" s="93" t="str">
        <f>IFERROR(VLOOKUP(F68,Tablas1!$H$2:$I$14,2,0),"ERROR")</f>
        <v>FAC5</v>
      </c>
      <c r="I68" s="75" t="s">
        <v>358</v>
      </c>
      <c r="J68" s="76"/>
      <c r="K68" s="76" t="s">
        <v>200</v>
      </c>
      <c r="L68" s="76" t="s">
        <v>200</v>
      </c>
      <c r="M68" s="76" t="s">
        <v>200</v>
      </c>
      <c r="N68" s="75" t="s">
        <v>380</v>
      </c>
      <c r="O68" s="75" t="str">
        <f>VLOOKUP(CONCATENATE(IF(J68="X",1,0),IF(K68="X",2,0),IF(L68="X",3,0),IF(M68="X",4,0)),Puntuaciones!$I$15:$N$67,6,0)</f>
        <v>Mayor exposición de la Lotería al riesgo de LA/FT/FPADM.
Deterioro de los procesos operativos.
Pérdida de reputación.
Procesos judiciales, disciplinarios y/o legales.
Sanciones del supervisor, regulador y/o entes de control.
Pérdida de mercado.</v>
      </c>
      <c r="P68" s="73"/>
      <c r="Q68" s="90"/>
      <c r="R68" s="90"/>
      <c r="S68" s="90"/>
      <c r="T68" s="90"/>
      <c r="U68" s="91"/>
      <c r="V68" s="77"/>
      <c r="W68" s="78"/>
      <c r="X68" s="79"/>
      <c r="AB68" s="23"/>
      <c r="AC68" s="23"/>
      <c r="AH68" s="3"/>
    </row>
    <row r="69" spans="2:34" s="21" customFormat="1" ht="98.25" customHeight="1" x14ac:dyDescent="0.3">
      <c r="B69" s="74"/>
      <c r="C69" s="74" t="s">
        <v>235</v>
      </c>
      <c r="D69" s="74" t="s">
        <v>235</v>
      </c>
      <c r="E69" s="74">
        <f t="shared" si="3"/>
        <v>63</v>
      </c>
      <c r="F69" s="74" t="s">
        <v>284</v>
      </c>
      <c r="G69" s="93" t="str">
        <f>IFERROR(VLOOKUP($C69,Tablas1!$B$3:$C$21,2,0),"ERROR")</f>
        <v>ERROR</v>
      </c>
      <c r="H69" s="93" t="str">
        <f>IFERROR(VLOOKUP(F69,Tablas1!$H$2:$I$14,2,0),"ERROR")</f>
        <v>ERROR</v>
      </c>
      <c r="I69" s="92" t="s">
        <v>360</v>
      </c>
      <c r="J69" s="76"/>
      <c r="K69" s="76" t="s">
        <v>200</v>
      </c>
      <c r="L69" s="76" t="s">
        <v>200</v>
      </c>
      <c r="M69" s="76" t="s">
        <v>200</v>
      </c>
      <c r="N69" s="75" t="s">
        <v>381</v>
      </c>
      <c r="O69" s="75" t="str">
        <f>VLOOKUP(CONCATENATE(IF(J69="X",1,0),IF(K69="X",2,0),IF(L69="X",3,0),IF(M69="X",4,0)),Puntuaciones!$I$15:$N$67,6,0)</f>
        <v>Mayor exposición de la Lotería al riesgo de LA/FT/FPADM.
Deterioro de los procesos operativos.
Pérdida de reputación.
Procesos judiciales, disciplinarios y/o legales.
Sanciones del supervisor, regulador y/o entes de control.
Pérdida de mercado.</v>
      </c>
      <c r="P69" s="73"/>
      <c r="Q69" s="90"/>
      <c r="R69" s="90"/>
      <c r="S69" s="90"/>
      <c r="T69" s="90"/>
      <c r="U69" s="91"/>
      <c r="V69" s="77"/>
      <c r="W69" s="78"/>
      <c r="X69" s="79"/>
      <c r="AB69" s="23"/>
      <c r="AC69" s="23"/>
      <c r="AH69" s="3"/>
    </row>
    <row r="70" spans="2:34" s="21" customFormat="1" ht="98.25" customHeight="1" x14ac:dyDescent="0.3">
      <c r="B70" s="74"/>
      <c r="C70" s="74" t="s">
        <v>235</v>
      </c>
      <c r="D70" s="74" t="s">
        <v>235</v>
      </c>
      <c r="E70" s="74">
        <f t="shared" si="3"/>
        <v>64</v>
      </c>
      <c r="F70" s="74" t="s">
        <v>242</v>
      </c>
      <c r="G70" s="92" t="str">
        <f>IFERROR(VLOOKUP($C70,Tablas1!$B$3:$C$22,2,0),"ERROR")</f>
        <v>ERROR</v>
      </c>
      <c r="H70" s="93" t="str">
        <f>IFERROR(VLOOKUP(F70,Tablas1!$H$2:$I$14,2,0),"ERROR")</f>
        <v>FAC5</v>
      </c>
      <c r="I70" s="92" t="s">
        <v>299</v>
      </c>
      <c r="J70" s="76" t="s">
        <v>200</v>
      </c>
      <c r="K70" s="76" t="s">
        <v>200</v>
      </c>
      <c r="L70" s="76" t="s">
        <v>200</v>
      </c>
      <c r="M70" s="76" t="s">
        <v>200</v>
      </c>
      <c r="N70" s="75" t="s">
        <v>305</v>
      </c>
      <c r="O70" s="75" t="str">
        <f>VLOOKUP(CONCATENATE(IF(J70="X",1,0),IF(K70="X",2,0),IF(L70="X",3,0),IF(M70="X",4,0)),Puntuaciones!$I$15:$N$67,6,0)</f>
        <v>Mayor exposición de la Lotería al riesgo de LA/FT/FPADM.
Deterioro de los procesos operativos.
Pérdida de reputación.
Procesos judiciales, disciplinarios y/o legales.
Sanciones del supervisor, regulador y/o entes de control.
Pérdida de mercado.
Evento de contagio que afecte a la Lotería por el efecto rebote.</v>
      </c>
      <c r="P70" s="73"/>
      <c r="Q70" s="90"/>
      <c r="R70" s="90"/>
      <c r="S70" s="90"/>
      <c r="T70" s="90"/>
      <c r="U70" s="91"/>
      <c r="V70" s="77"/>
      <c r="W70" s="78"/>
      <c r="X70" s="79"/>
      <c r="AB70" s="23"/>
      <c r="AC70" s="23"/>
      <c r="AH70" s="3"/>
    </row>
    <row r="71" spans="2:34" s="21" customFormat="1" ht="98.25" customHeight="1" x14ac:dyDescent="0.3">
      <c r="B71" s="74"/>
      <c r="C71" s="74" t="s">
        <v>235</v>
      </c>
      <c r="D71" s="74" t="s">
        <v>235</v>
      </c>
      <c r="E71" s="74">
        <f t="shared" si="3"/>
        <v>65</v>
      </c>
      <c r="F71" s="74" t="s">
        <v>240</v>
      </c>
      <c r="G71" s="92" t="str">
        <f>IFERROR(VLOOKUP($C71,Tablas1!$B$3:$C$22,2,0),"ERROR")</f>
        <v>ERROR</v>
      </c>
      <c r="H71" s="93" t="str">
        <f>IFERROR(VLOOKUP(F71,Tablas1!$H$2:$I$14,2,0),"ERROR")</f>
        <v>ERROR</v>
      </c>
      <c r="I71" s="92" t="s">
        <v>300</v>
      </c>
      <c r="J71" s="76" t="s">
        <v>200</v>
      </c>
      <c r="K71" s="76" t="s">
        <v>200</v>
      </c>
      <c r="L71" s="76" t="s">
        <v>200</v>
      </c>
      <c r="M71" s="76" t="s">
        <v>200</v>
      </c>
      <c r="N71" s="75" t="s">
        <v>306</v>
      </c>
      <c r="O71" s="75" t="str">
        <f>VLOOKUP(CONCATENATE(IF(J71="X",1,0),IF(K71="X",2,0),IF(L71="X",3,0),IF(M71="X",4,0)),Puntuaciones!$I$15:$N$67,6,0)</f>
        <v>Mayor exposición de la Lotería al riesgo de LA/FT/FPADM.
Deterioro de los procesos operativos.
Pérdida de reputación.
Procesos judiciales, disciplinarios y/o legales.
Sanciones del supervisor, regulador y/o entes de control.
Pérdida de mercado.
Evento de contagio que afecte a la Lotería por el efecto rebote.</v>
      </c>
      <c r="P71" s="73"/>
      <c r="Q71" s="90"/>
      <c r="R71" s="90"/>
      <c r="S71" s="90"/>
      <c r="T71" s="90"/>
      <c r="U71" s="91"/>
      <c r="V71" s="77"/>
      <c r="W71" s="78"/>
      <c r="X71" s="79"/>
      <c r="AB71" s="23"/>
      <c r="AC71" s="23"/>
      <c r="AH71" s="3"/>
    </row>
    <row r="72" spans="2:34" s="21" customFormat="1" ht="98.25" customHeight="1" x14ac:dyDescent="0.3">
      <c r="B72" s="74"/>
      <c r="C72" s="74" t="s">
        <v>235</v>
      </c>
      <c r="D72" s="74" t="s">
        <v>235</v>
      </c>
      <c r="E72" s="74">
        <f t="shared" si="3"/>
        <v>66</v>
      </c>
      <c r="F72" s="74" t="s">
        <v>284</v>
      </c>
      <c r="G72" s="92" t="str">
        <f>IFERROR(VLOOKUP($C72,Tablas1!$B$3:$C$22,2,0),"ERROR")</f>
        <v>ERROR</v>
      </c>
      <c r="H72" s="93" t="str">
        <f>IFERROR(VLOOKUP(F72,Tablas1!$H$2:$I$14,2,0),"ERROR")</f>
        <v>ERROR</v>
      </c>
      <c r="I72" s="92" t="s">
        <v>301</v>
      </c>
      <c r="J72" s="76" t="s">
        <v>200</v>
      </c>
      <c r="K72" s="76" t="s">
        <v>200</v>
      </c>
      <c r="L72" s="76" t="s">
        <v>200</v>
      </c>
      <c r="M72" s="76" t="s">
        <v>200</v>
      </c>
      <c r="N72" s="75" t="s">
        <v>307</v>
      </c>
      <c r="O72" s="75" t="str">
        <f>VLOOKUP(CONCATENATE(IF(J72="X",1,0),IF(K72="X",2,0),IF(L72="X",3,0),IF(M72="X",4,0)),Puntuaciones!$I$15:$N$67,6,0)</f>
        <v>Mayor exposición de la Lotería al riesgo de LA/FT/FPADM.
Deterioro de los procesos operativos.
Pérdida de reputación.
Procesos judiciales, disciplinarios y/o legales.
Sanciones del supervisor, regulador y/o entes de control.
Pérdida de mercado.
Evento de contagio que afecte a la Lotería por el efecto rebote.</v>
      </c>
      <c r="P72" s="73"/>
      <c r="Q72" s="90"/>
      <c r="R72" s="90"/>
      <c r="S72" s="90"/>
      <c r="T72" s="90"/>
      <c r="U72" s="91"/>
      <c r="V72" s="77"/>
      <c r="W72" s="78"/>
      <c r="X72" s="79"/>
      <c r="AB72" s="23"/>
      <c r="AC72" s="23"/>
      <c r="AH72" s="3"/>
    </row>
    <row r="73" spans="2:34" s="21" customFormat="1" ht="98.25" customHeight="1" x14ac:dyDescent="0.3">
      <c r="B73" s="74"/>
      <c r="C73" s="74" t="s">
        <v>235</v>
      </c>
      <c r="D73" s="74" t="s">
        <v>235</v>
      </c>
      <c r="E73" s="74">
        <f t="shared" si="3"/>
        <v>67</v>
      </c>
      <c r="F73" s="74" t="s">
        <v>241</v>
      </c>
      <c r="G73" s="92" t="str">
        <f>IFERROR(VLOOKUP($C73,Tablas1!$B$3:$C$22,2,0),"ERROR")</f>
        <v>ERROR</v>
      </c>
      <c r="H73" s="93" t="str">
        <f>IFERROR(VLOOKUP(F73,Tablas1!$H$2:$I$14,2,0),"ERROR")</f>
        <v>ERROR</v>
      </c>
      <c r="I73" s="92" t="s">
        <v>308</v>
      </c>
      <c r="J73" s="76" t="s">
        <v>200</v>
      </c>
      <c r="K73" s="76" t="s">
        <v>200</v>
      </c>
      <c r="L73" s="76" t="s">
        <v>200</v>
      </c>
      <c r="M73" s="76" t="s">
        <v>200</v>
      </c>
      <c r="N73" s="75" t="s">
        <v>309</v>
      </c>
      <c r="O73" s="75" t="str">
        <f>VLOOKUP(CONCATENATE(IF(J73="X",1,0),IF(K73="X",2,0),IF(L73="X",3,0),IF(M73="X",4,0)),Puntuaciones!$I$15:$N$67,6,0)</f>
        <v>Mayor exposición de la Lotería al riesgo de LA/FT/FPADM.
Deterioro de los procesos operativos.
Pérdida de reputación.
Procesos judiciales, disciplinarios y/o legales.
Sanciones del supervisor, regulador y/o entes de control.
Pérdida de mercado.
Evento de contagio que afecte a la Lotería por el efecto rebote.</v>
      </c>
      <c r="P73" s="73"/>
      <c r="Q73" s="90"/>
      <c r="R73" s="90"/>
      <c r="S73" s="90"/>
      <c r="T73" s="90"/>
      <c r="U73" s="91"/>
      <c r="V73" s="77"/>
      <c r="W73" s="78"/>
      <c r="X73" s="79"/>
      <c r="AB73" s="23"/>
      <c r="AC73" s="23"/>
      <c r="AH73" s="3"/>
    </row>
    <row r="74" spans="2:34" s="21" customFormat="1" ht="98.25" customHeight="1" x14ac:dyDescent="0.3">
      <c r="B74" s="74"/>
      <c r="C74" s="74" t="s">
        <v>235</v>
      </c>
      <c r="D74" s="74" t="s">
        <v>235</v>
      </c>
      <c r="E74" s="74">
        <f t="shared" si="3"/>
        <v>68</v>
      </c>
      <c r="F74" s="74" t="s">
        <v>9</v>
      </c>
      <c r="G74" s="92" t="str">
        <f>IFERROR(VLOOKUP($C74,Tablas1!$B$3:$C$22,2,0),"ERROR")</f>
        <v>ERROR</v>
      </c>
      <c r="H74" s="93" t="str">
        <f>IFERROR(VLOOKUP(F74,Tablas1!$H$2:$I$14,2,0),"ERROR")</f>
        <v>FAC3</v>
      </c>
      <c r="I74" s="92" t="s">
        <v>315</v>
      </c>
      <c r="J74" s="76"/>
      <c r="K74" s="76" t="s">
        <v>200</v>
      </c>
      <c r="L74" s="76" t="s">
        <v>200</v>
      </c>
      <c r="M74" s="76" t="s">
        <v>200</v>
      </c>
      <c r="N74" s="75" t="s">
        <v>316</v>
      </c>
      <c r="O74" s="75" t="str">
        <f>VLOOKUP(CONCATENATE(IF(J74="X",1,0),IF(K74="X",2,0),IF(L74="X",3,0),IF(M74="X",4,0)),Puntuaciones!$I$15:$N$67,6,0)</f>
        <v>Mayor exposición de la Lotería al riesgo de LA/FT/FPADM.
Deterioro de los procesos operativos.
Pérdida de reputación.
Procesos judiciales, disciplinarios y/o legales.
Sanciones del supervisor, regulador y/o entes de control.
Pérdida de mercado.</v>
      </c>
      <c r="P74" s="73"/>
      <c r="Q74" s="90"/>
      <c r="R74" s="90"/>
      <c r="S74" s="90"/>
      <c r="T74" s="90"/>
      <c r="U74" s="91"/>
      <c r="V74" s="77"/>
      <c r="W74" s="78"/>
      <c r="X74" s="79"/>
      <c r="AB74" s="23"/>
      <c r="AC74" s="23"/>
      <c r="AH74" s="3"/>
    </row>
    <row r="75" spans="2:34" s="21" customFormat="1" ht="98.25" customHeight="1" x14ac:dyDescent="0.3">
      <c r="B75" s="74"/>
      <c r="C75" s="74" t="s">
        <v>235</v>
      </c>
      <c r="D75" s="74" t="s">
        <v>235</v>
      </c>
      <c r="E75" s="74">
        <f t="shared" si="3"/>
        <v>69</v>
      </c>
      <c r="F75" s="74" t="s">
        <v>359</v>
      </c>
      <c r="G75" s="92" t="str">
        <f>IFERROR(VLOOKUP($C75,Tablas1!$B$3:$C$22,2,0),"ERROR")</f>
        <v>ERROR</v>
      </c>
      <c r="H75" s="93" t="str">
        <f>IFERROR(VLOOKUP(F75,Tablas1!$H$2:$I$14,2,0),"ERROR")</f>
        <v>ERROR</v>
      </c>
      <c r="I75" s="92" t="s">
        <v>311</v>
      </c>
      <c r="J75" s="76"/>
      <c r="K75" s="76" t="s">
        <v>200</v>
      </c>
      <c r="L75" s="76" t="s">
        <v>200</v>
      </c>
      <c r="M75" s="76" t="s">
        <v>200</v>
      </c>
      <c r="N75" s="75" t="s">
        <v>312</v>
      </c>
      <c r="O75" s="75" t="str">
        <f>VLOOKUP(CONCATENATE(IF(J75="X",1,0),IF(K75="X",2,0),IF(L75="X",3,0),IF(M75="X",4,0)),Puntuaciones!$I$15:$N$67,6,0)</f>
        <v>Mayor exposición de la Lotería al riesgo de LA/FT/FPADM.
Deterioro de los procesos operativos.
Pérdida de reputación.
Procesos judiciales, disciplinarios y/o legales.
Sanciones del supervisor, regulador y/o entes de control.
Pérdida de mercado.</v>
      </c>
      <c r="P75" s="73"/>
      <c r="Q75" s="90"/>
      <c r="R75" s="90"/>
      <c r="S75" s="90"/>
      <c r="T75" s="90"/>
      <c r="U75" s="91"/>
      <c r="V75" s="77"/>
      <c r="W75" s="78"/>
      <c r="X75" s="79"/>
      <c r="AB75" s="23"/>
      <c r="AC75" s="23"/>
      <c r="AH75" s="3"/>
    </row>
    <row r="76" spans="2:34" s="21" customFormat="1" ht="98.25" customHeight="1" x14ac:dyDescent="0.3">
      <c r="B76" s="74"/>
      <c r="C76" s="74" t="s">
        <v>235</v>
      </c>
      <c r="D76" s="74" t="s">
        <v>235</v>
      </c>
      <c r="E76" s="74">
        <f t="shared" si="3"/>
        <v>70</v>
      </c>
      <c r="F76" s="74" t="s">
        <v>243</v>
      </c>
      <c r="G76" s="92" t="str">
        <f>IFERROR(VLOOKUP($C76,Tablas1!$B$3:$C$22,2,0),"ERROR")</f>
        <v>ERROR</v>
      </c>
      <c r="H76" s="93" t="str">
        <f>IFERROR(VLOOKUP(F76,Tablas1!$H$2:$I$14,2,0),"ERROR")</f>
        <v>FAC2</v>
      </c>
      <c r="I76" s="92" t="s">
        <v>313</v>
      </c>
      <c r="J76" s="76"/>
      <c r="K76" s="76" t="s">
        <v>200</v>
      </c>
      <c r="L76" s="76" t="s">
        <v>200</v>
      </c>
      <c r="M76" s="76" t="s">
        <v>200</v>
      </c>
      <c r="N76" s="75" t="s">
        <v>314</v>
      </c>
      <c r="O76" s="75" t="str">
        <f>VLOOKUP(CONCATENATE(IF(J76="X",1,0),IF(K76="X",2,0),IF(L76="X",3,0),IF(M76="X",4,0)),Puntuaciones!$I$15:$N$67,6,0)</f>
        <v>Mayor exposición de la Lotería al riesgo de LA/FT/FPADM.
Deterioro de los procesos operativos.
Pérdida de reputación.
Procesos judiciales, disciplinarios y/o legales.
Sanciones del supervisor, regulador y/o entes de control.
Pérdida de mercado.</v>
      </c>
      <c r="P76" s="73"/>
      <c r="Q76" s="90"/>
      <c r="R76" s="90"/>
      <c r="S76" s="90"/>
      <c r="T76" s="90"/>
      <c r="U76" s="91"/>
      <c r="V76" s="77"/>
      <c r="W76" s="78"/>
      <c r="X76" s="79"/>
      <c r="AB76" s="23"/>
      <c r="AC76" s="23"/>
      <c r="AH76" s="3"/>
    </row>
    <row r="77" spans="2:34" s="21" customFormat="1" ht="98.25" customHeight="1" x14ac:dyDescent="0.3">
      <c r="B77" s="74"/>
      <c r="C77" s="74" t="s">
        <v>235</v>
      </c>
      <c r="D77" s="74" t="s">
        <v>235</v>
      </c>
      <c r="E77" s="74">
        <f t="shared" si="3"/>
        <v>71</v>
      </c>
      <c r="F77" s="74" t="s">
        <v>242</v>
      </c>
      <c r="G77" s="92" t="str">
        <f>IFERROR(VLOOKUP($C77,Tablas1!$B$3:$C$22,2,0),"ERROR")</f>
        <v>ERROR</v>
      </c>
      <c r="H77" s="93" t="str">
        <f>IFERROR(VLOOKUP(F77,Tablas1!$H$2:$I$14,2,0),"ERROR")</f>
        <v>FAC5</v>
      </c>
      <c r="I77" s="92" t="s">
        <v>299</v>
      </c>
      <c r="J77" s="76" t="s">
        <v>200</v>
      </c>
      <c r="K77" s="76" t="s">
        <v>200</v>
      </c>
      <c r="L77" s="76" t="s">
        <v>200</v>
      </c>
      <c r="M77" s="76" t="s">
        <v>200</v>
      </c>
      <c r="N77" s="75" t="s">
        <v>305</v>
      </c>
      <c r="O77" s="75" t="str">
        <f>VLOOKUP(CONCATENATE(IF(J77="X",1,0),IF(K77="X",2,0),IF(L77="X",3,0),IF(M77="X",4,0)),Puntuaciones!$I$15:$N$67,6,0)</f>
        <v>Mayor exposición de la Lotería al riesgo de LA/FT/FPADM.
Deterioro de los procesos operativos.
Pérdida de reputación.
Procesos judiciales, disciplinarios y/o legales.
Sanciones del supervisor, regulador y/o entes de control.
Pérdida de mercado.
Evento de contagio que afecte a la Lotería por el efecto rebote.</v>
      </c>
      <c r="P77" s="73"/>
      <c r="Q77" s="90"/>
      <c r="R77" s="90"/>
      <c r="S77" s="90"/>
      <c r="T77" s="90"/>
      <c r="U77" s="91"/>
      <c r="V77" s="77"/>
      <c r="W77" s="78"/>
      <c r="X77" s="79"/>
      <c r="AB77" s="23"/>
      <c r="AC77" s="23"/>
      <c r="AH77" s="3"/>
    </row>
    <row r="78" spans="2:34" s="21" customFormat="1" ht="98.25" customHeight="1" x14ac:dyDescent="0.3">
      <c r="B78" s="74"/>
      <c r="C78" s="74" t="s">
        <v>235</v>
      </c>
      <c r="D78" s="74" t="s">
        <v>235</v>
      </c>
      <c r="E78" s="74">
        <f t="shared" si="3"/>
        <v>72</v>
      </c>
      <c r="F78" s="74" t="s">
        <v>359</v>
      </c>
      <c r="G78" s="92" t="str">
        <f>IFERROR(VLOOKUP($C78,Tablas1!$B$3:$C$22,2,0),"ERROR")</f>
        <v>ERROR</v>
      </c>
      <c r="H78" s="93" t="str">
        <f>IFERROR(VLOOKUP(F78,Tablas1!$H$2:$I$14,2,0),"ERROR")</f>
        <v>ERROR</v>
      </c>
      <c r="I78" s="92" t="s">
        <v>311</v>
      </c>
      <c r="J78" s="76"/>
      <c r="K78" s="76" t="s">
        <v>200</v>
      </c>
      <c r="L78" s="76" t="s">
        <v>200</v>
      </c>
      <c r="M78" s="76" t="s">
        <v>200</v>
      </c>
      <c r="N78" s="75" t="s">
        <v>312</v>
      </c>
      <c r="O78" s="75" t="str">
        <f>VLOOKUP(CONCATENATE(IF(J78="X",1,0),IF(K78="X",2,0),IF(L78="X",3,0),IF(M78="X",4,0)),Puntuaciones!$I$15:$N$67,6,0)</f>
        <v>Mayor exposición de la Lotería al riesgo de LA/FT/FPADM.
Deterioro de los procesos operativos.
Pérdida de reputación.
Procesos judiciales, disciplinarios y/o legales.
Sanciones del supervisor, regulador y/o entes de control.
Pérdida de mercado.</v>
      </c>
      <c r="P78" s="73"/>
      <c r="Q78" s="90"/>
      <c r="R78" s="90"/>
      <c r="S78" s="90"/>
      <c r="T78" s="90"/>
      <c r="U78" s="91"/>
      <c r="V78" s="77"/>
      <c r="W78" s="78"/>
      <c r="X78" s="79"/>
      <c r="AB78" s="23"/>
      <c r="AC78" s="23"/>
      <c r="AH78" s="3"/>
    </row>
    <row r="79" spans="2:34" s="21" customFormat="1" ht="98.25" customHeight="1" x14ac:dyDescent="0.3">
      <c r="B79" s="74"/>
      <c r="C79" s="74" t="s">
        <v>232</v>
      </c>
      <c r="D79" s="74" t="s">
        <v>232</v>
      </c>
      <c r="E79" s="74">
        <f t="shared" si="3"/>
        <v>73</v>
      </c>
      <c r="F79" s="74" t="s">
        <v>242</v>
      </c>
      <c r="G79" s="92" t="str">
        <f>IFERROR(VLOOKUP($C79,Tablas1!$B$3:$C$22,2,0),"ERROR")</f>
        <v>ERROR</v>
      </c>
      <c r="H79" s="93" t="str">
        <f>IFERROR(VLOOKUP(F79,Tablas1!$H$2:$I$14,2,0),"ERROR")</f>
        <v>FAC5</v>
      </c>
      <c r="I79" s="92" t="s">
        <v>361</v>
      </c>
      <c r="J79" s="76" t="s">
        <v>200</v>
      </c>
      <c r="K79" s="76" t="s">
        <v>200</v>
      </c>
      <c r="L79" s="76" t="s">
        <v>200</v>
      </c>
      <c r="M79" s="76" t="s">
        <v>200</v>
      </c>
      <c r="N79" s="75" t="s">
        <v>305</v>
      </c>
      <c r="O79" s="75" t="str">
        <f>VLOOKUP(CONCATENATE(IF(J79="X",1,0),IF(K79="X",2,0),IF(L79="X",3,0),IF(M79="X",4,0)),Puntuaciones!$I$15:$N$67,6,0)</f>
        <v>Mayor exposición de la Lotería al riesgo de LA/FT/FPADM.
Deterioro de los procesos operativos.
Pérdida de reputación.
Procesos judiciales, disciplinarios y/o legales.
Sanciones del supervisor, regulador y/o entes de control.
Pérdida de mercado.
Evento de contagio que afecte a la Lotería por el efecto rebote.</v>
      </c>
      <c r="P79" s="73"/>
      <c r="Q79" s="90"/>
      <c r="R79" s="90"/>
      <c r="S79" s="90"/>
      <c r="T79" s="90"/>
      <c r="U79" s="91"/>
      <c r="V79" s="77"/>
      <c r="W79" s="78"/>
      <c r="X79" s="79"/>
      <c r="AB79" s="23"/>
      <c r="AC79" s="23"/>
      <c r="AH79" s="3"/>
    </row>
    <row r="80" spans="2:34" s="21" customFormat="1" ht="98.25" customHeight="1" x14ac:dyDescent="0.3">
      <c r="B80" s="74"/>
      <c r="C80" s="74" t="s">
        <v>232</v>
      </c>
      <c r="D80" s="74" t="s">
        <v>232</v>
      </c>
      <c r="E80" s="74">
        <f t="shared" si="3"/>
        <v>74</v>
      </c>
      <c r="F80" s="74" t="s">
        <v>359</v>
      </c>
      <c r="G80" s="92" t="str">
        <f>IFERROR(VLOOKUP($C80,Tablas1!$B$3:$C$22,2,0),"ERROR")</f>
        <v>ERROR</v>
      </c>
      <c r="H80" s="93" t="str">
        <f>IFERROR(VLOOKUP(F80,Tablas1!$H$2:$I$14,2,0),"ERROR")</f>
        <v>ERROR</v>
      </c>
      <c r="I80" s="92" t="s">
        <v>362</v>
      </c>
      <c r="J80" s="76" t="s">
        <v>200</v>
      </c>
      <c r="K80" s="76" t="s">
        <v>200</v>
      </c>
      <c r="L80" s="76" t="s">
        <v>200</v>
      </c>
      <c r="M80" s="76" t="s">
        <v>200</v>
      </c>
      <c r="N80" s="75" t="s">
        <v>312</v>
      </c>
      <c r="O80" s="75" t="str">
        <f>VLOOKUP(CONCATENATE(IF(J80="X",1,0),IF(K80="X",2,0),IF(L80="X",3,0),IF(M80="X",4,0)),Puntuaciones!$I$15:$N$67,6,0)</f>
        <v>Mayor exposición de la Lotería al riesgo de LA/FT/FPADM.
Deterioro de los procesos operativos.
Pérdida de reputación.
Procesos judiciales, disciplinarios y/o legales.
Sanciones del supervisor, regulador y/o entes de control.
Pérdida de mercado.
Evento de contagio que afecte a la Lotería por el efecto rebote.</v>
      </c>
      <c r="P80" s="73"/>
      <c r="Q80" s="90"/>
      <c r="R80" s="90"/>
      <c r="S80" s="90"/>
      <c r="T80" s="90"/>
      <c r="U80" s="91"/>
      <c r="V80" s="77"/>
      <c r="W80" s="78"/>
      <c r="X80" s="79"/>
      <c r="AB80" s="23"/>
      <c r="AC80" s="23"/>
      <c r="AH80" s="3"/>
    </row>
    <row r="81" spans="2:34" s="21" customFormat="1" ht="98.25" customHeight="1" x14ac:dyDescent="0.3">
      <c r="B81" s="74"/>
      <c r="C81" s="74" t="s">
        <v>233</v>
      </c>
      <c r="D81" s="74" t="s">
        <v>233</v>
      </c>
      <c r="E81" s="74">
        <f t="shared" si="3"/>
        <v>75</v>
      </c>
      <c r="F81" s="74" t="s">
        <v>242</v>
      </c>
      <c r="G81" s="92" t="str">
        <f>IFERROR(VLOOKUP($C81,Tablas1!$B$3:$C$22,2,0),"ERROR")</f>
        <v>ERROR</v>
      </c>
      <c r="H81" s="93" t="str">
        <f>IFERROR(VLOOKUP(F81,Tablas1!$H$2:$I$14,2,0),"ERROR")</f>
        <v>FAC5</v>
      </c>
      <c r="I81" s="92" t="s">
        <v>364</v>
      </c>
      <c r="J81" s="76" t="s">
        <v>200</v>
      </c>
      <c r="K81" s="76" t="s">
        <v>200</v>
      </c>
      <c r="L81" s="76" t="s">
        <v>200</v>
      </c>
      <c r="M81" s="76" t="s">
        <v>200</v>
      </c>
      <c r="N81" s="75" t="s">
        <v>305</v>
      </c>
      <c r="O81" s="75" t="str">
        <f>VLOOKUP(CONCATENATE(IF(J81="X",1,0),IF(K81="X",2,0),IF(L81="X",3,0),IF(M81="X",4,0)),Puntuaciones!$I$15:$N$67,6,0)</f>
        <v>Mayor exposición de la Lotería al riesgo de LA/FT/FPADM.
Deterioro de los procesos operativos.
Pérdida de reputación.
Procesos judiciales, disciplinarios y/o legales.
Sanciones del supervisor, regulador y/o entes de control.
Pérdida de mercado.
Evento de contagio que afecte a la Lotería por el efecto rebote.</v>
      </c>
      <c r="P81" s="73"/>
      <c r="Q81" s="90"/>
      <c r="R81" s="90"/>
      <c r="S81" s="90"/>
      <c r="T81" s="90"/>
      <c r="U81" s="91"/>
      <c r="V81" s="77"/>
      <c r="W81" s="78"/>
      <c r="X81" s="79"/>
      <c r="AB81" s="23"/>
      <c r="AC81" s="23"/>
      <c r="AH81" s="3"/>
    </row>
    <row r="82" spans="2:34" s="21" customFormat="1" ht="98.25" customHeight="1" x14ac:dyDescent="0.3">
      <c r="B82" s="74"/>
      <c r="C82" s="74" t="s">
        <v>233</v>
      </c>
      <c r="D82" s="74" t="s">
        <v>233</v>
      </c>
      <c r="E82" s="74">
        <f t="shared" si="3"/>
        <v>76</v>
      </c>
      <c r="F82" s="74" t="s">
        <v>359</v>
      </c>
      <c r="G82" s="92" t="str">
        <f>IFERROR(VLOOKUP($C82,Tablas1!$B$3:$C$22,2,0),"ERROR")</f>
        <v>ERROR</v>
      </c>
      <c r="H82" s="93" t="str">
        <f>IFERROR(VLOOKUP(F82,Tablas1!$H$2:$I$14,2,0),"ERROR")</f>
        <v>ERROR</v>
      </c>
      <c r="I82" s="92" t="s">
        <v>363</v>
      </c>
      <c r="J82" s="76" t="s">
        <v>200</v>
      </c>
      <c r="K82" s="76" t="s">
        <v>200</v>
      </c>
      <c r="L82" s="76" t="s">
        <v>200</v>
      </c>
      <c r="M82" s="76" t="s">
        <v>200</v>
      </c>
      <c r="N82" s="75" t="s">
        <v>312</v>
      </c>
      <c r="O82" s="75" t="str">
        <f>VLOOKUP(CONCATENATE(IF(J82="X",1,0),IF(K82="X",2,0),IF(L82="X",3,0),IF(M82="X",4,0)),Puntuaciones!$I$15:$N$67,6,0)</f>
        <v>Mayor exposición de la Lotería al riesgo de LA/FT/FPADM.
Deterioro de los procesos operativos.
Pérdida de reputación.
Procesos judiciales, disciplinarios y/o legales.
Sanciones del supervisor, regulador y/o entes de control.
Pérdida de mercado.
Evento de contagio que afecte a la Lotería por el efecto rebote.</v>
      </c>
      <c r="P82" s="73"/>
      <c r="Q82" s="90"/>
      <c r="R82" s="90"/>
      <c r="S82" s="90"/>
      <c r="T82" s="90"/>
      <c r="U82" s="91"/>
      <c r="V82" s="77"/>
      <c r="W82" s="78"/>
      <c r="X82" s="79"/>
      <c r="AB82" s="23"/>
      <c r="AC82" s="23"/>
      <c r="AH82" s="3"/>
    </row>
    <row r="83" spans="2:34" s="21" customFormat="1" ht="98.25" customHeight="1" x14ac:dyDescent="0.3">
      <c r="B83" s="74"/>
      <c r="C83" s="74" t="s">
        <v>234</v>
      </c>
      <c r="D83" s="74" t="s">
        <v>234</v>
      </c>
      <c r="E83" s="74">
        <f t="shared" ref="E83:E89" si="5">ROW(C83)-6</f>
        <v>77</v>
      </c>
      <c r="F83" s="74" t="s">
        <v>242</v>
      </c>
      <c r="G83" s="92" t="str">
        <f>IFERROR(VLOOKUP($C83,Tablas1!$B$3:$C$22,2,0),"ERROR")</f>
        <v>ERROR</v>
      </c>
      <c r="H83" s="93" t="str">
        <f>IFERROR(VLOOKUP(F83,Tablas1!$H$2:$I$14,2,0),"ERROR")</f>
        <v>FAC5</v>
      </c>
      <c r="I83" s="92" t="s">
        <v>365</v>
      </c>
      <c r="J83" s="76" t="s">
        <v>200</v>
      </c>
      <c r="K83" s="76" t="s">
        <v>200</v>
      </c>
      <c r="L83" s="76" t="s">
        <v>200</v>
      </c>
      <c r="M83" s="76" t="s">
        <v>200</v>
      </c>
      <c r="N83" s="75" t="s">
        <v>305</v>
      </c>
      <c r="O83" s="75" t="str">
        <f>VLOOKUP(CONCATENATE(IF(J83="X",1,0),IF(K83="X",2,0),IF(L83="X",3,0),IF(M83="X",4,0)),Puntuaciones!$I$15:$N$67,6,0)</f>
        <v>Mayor exposición de la Lotería al riesgo de LA/FT/FPADM.
Deterioro de los procesos operativos.
Pérdida de reputación.
Procesos judiciales, disciplinarios y/o legales.
Sanciones del supervisor, regulador y/o entes de control.
Pérdida de mercado.
Evento de contagio que afecte a la Lotería por el efecto rebote.</v>
      </c>
      <c r="P83" s="73"/>
      <c r="Q83" s="90"/>
      <c r="R83" s="90"/>
      <c r="S83" s="90"/>
      <c r="T83" s="90"/>
      <c r="U83" s="91"/>
      <c r="V83" s="77"/>
      <c r="W83" s="78"/>
      <c r="X83" s="79"/>
      <c r="AB83" s="23"/>
      <c r="AC83" s="23"/>
      <c r="AH83" s="3"/>
    </row>
    <row r="84" spans="2:34" s="21" customFormat="1" ht="98.25" customHeight="1" x14ac:dyDescent="0.3">
      <c r="B84" s="74"/>
      <c r="C84" s="74" t="s">
        <v>234</v>
      </c>
      <c r="D84" s="74" t="s">
        <v>234</v>
      </c>
      <c r="E84" s="74">
        <f t="shared" si="5"/>
        <v>78</v>
      </c>
      <c r="F84" s="74" t="s">
        <v>242</v>
      </c>
      <c r="G84" s="92" t="str">
        <f>IFERROR(VLOOKUP($C84,Tablas1!$B$3:$C$22,2,0),"ERROR")</f>
        <v>ERROR</v>
      </c>
      <c r="H84" s="93" t="str">
        <f>IFERROR(VLOOKUP(F84,Tablas1!$H$2:$I$14,2,0),"ERROR")</f>
        <v>FAC5</v>
      </c>
      <c r="I84" s="92" t="s">
        <v>366</v>
      </c>
      <c r="J84" s="76" t="s">
        <v>200</v>
      </c>
      <c r="K84" s="76" t="s">
        <v>200</v>
      </c>
      <c r="L84" s="76" t="s">
        <v>200</v>
      </c>
      <c r="M84" s="76" t="s">
        <v>200</v>
      </c>
      <c r="N84" s="75" t="s">
        <v>305</v>
      </c>
      <c r="O84" s="75" t="str">
        <f>VLOOKUP(CONCATENATE(IF(J84="X",1,0),IF(K84="X",2,0),IF(L84="X",3,0),IF(M84="X",4,0)),Puntuaciones!$I$15:$N$67,6,0)</f>
        <v>Mayor exposición de la Lotería al riesgo de LA/FT/FPADM.
Deterioro de los procesos operativos.
Pérdida de reputación.
Procesos judiciales, disciplinarios y/o legales.
Sanciones del supervisor, regulador y/o entes de control.
Pérdida de mercado.
Evento de contagio que afecte a la Lotería por el efecto rebote.</v>
      </c>
      <c r="P84" s="73"/>
      <c r="Q84" s="90"/>
      <c r="R84" s="90"/>
      <c r="S84" s="90"/>
      <c r="T84" s="90"/>
      <c r="U84" s="91"/>
      <c r="V84" s="77"/>
      <c r="W84" s="78"/>
      <c r="X84" s="79"/>
      <c r="AB84" s="23"/>
      <c r="AC84" s="23"/>
      <c r="AH84" s="3"/>
    </row>
    <row r="85" spans="2:34" s="21" customFormat="1" ht="98.25" customHeight="1" x14ac:dyDescent="0.3">
      <c r="B85" s="74"/>
      <c r="C85" s="74" t="s">
        <v>234</v>
      </c>
      <c r="D85" s="74" t="s">
        <v>234</v>
      </c>
      <c r="E85" s="74">
        <f t="shared" si="5"/>
        <v>79</v>
      </c>
      <c r="F85" s="74" t="s">
        <v>359</v>
      </c>
      <c r="G85" s="92" t="str">
        <f>IFERROR(VLOOKUP($C85,Tablas1!$B$3:$C$22,2,0),"ERROR")</f>
        <v>ERROR</v>
      </c>
      <c r="H85" s="93" t="str">
        <f>IFERROR(VLOOKUP(F85,Tablas1!$H$2:$I$14,2,0),"ERROR")</f>
        <v>ERROR</v>
      </c>
      <c r="I85" s="92" t="s">
        <v>367</v>
      </c>
      <c r="J85" s="76" t="s">
        <v>200</v>
      </c>
      <c r="K85" s="76" t="s">
        <v>200</v>
      </c>
      <c r="L85" s="76" t="s">
        <v>200</v>
      </c>
      <c r="M85" s="76" t="s">
        <v>200</v>
      </c>
      <c r="N85" s="75" t="s">
        <v>312</v>
      </c>
      <c r="O85" s="75" t="str">
        <f>VLOOKUP(CONCATENATE(IF(J85="X",1,0),IF(K85="X",2,0),IF(L85="X",3,0),IF(M85="X",4,0)),Puntuaciones!$I$15:$N$67,6,0)</f>
        <v>Mayor exposición de la Lotería al riesgo de LA/FT/FPADM.
Deterioro de los procesos operativos.
Pérdida de reputación.
Procesos judiciales, disciplinarios y/o legales.
Sanciones del supervisor, regulador y/o entes de control.
Pérdida de mercado.
Evento de contagio que afecte a la Lotería por el efecto rebote.</v>
      </c>
      <c r="P85" s="73"/>
      <c r="Q85" s="90"/>
      <c r="R85" s="90"/>
      <c r="S85" s="90"/>
      <c r="T85" s="90"/>
      <c r="U85" s="91"/>
      <c r="V85" s="77"/>
      <c r="W85" s="78"/>
      <c r="X85" s="79"/>
      <c r="AB85" s="23"/>
      <c r="AC85" s="23"/>
      <c r="AH85" s="3"/>
    </row>
    <row r="86" spans="2:34" s="21" customFormat="1" ht="98.25" customHeight="1" x14ac:dyDescent="0.3">
      <c r="B86" s="74"/>
      <c r="C86" s="74" t="s">
        <v>236</v>
      </c>
      <c r="D86" s="74" t="s">
        <v>236</v>
      </c>
      <c r="E86" s="74">
        <f t="shared" si="5"/>
        <v>80</v>
      </c>
      <c r="F86" s="74" t="s">
        <v>242</v>
      </c>
      <c r="G86" s="92" t="str">
        <f>IFERROR(VLOOKUP($C86,Tablas1!$B$3:$C$22,2,0),"ERROR")</f>
        <v>ERROR</v>
      </c>
      <c r="H86" s="93" t="str">
        <f>IFERROR(VLOOKUP(F86,Tablas1!$H$2:$I$14,2,0),"ERROR")</f>
        <v>FAC5</v>
      </c>
      <c r="I86" s="92" t="s">
        <v>368</v>
      </c>
      <c r="J86" s="76" t="s">
        <v>200</v>
      </c>
      <c r="K86" s="76" t="s">
        <v>200</v>
      </c>
      <c r="L86" s="76" t="s">
        <v>200</v>
      </c>
      <c r="M86" s="76" t="s">
        <v>200</v>
      </c>
      <c r="N86" s="75" t="s">
        <v>305</v>
      </c>
      <c r="O86" s="75" t="str">
        <f>VLOOKUP(CONCATENATE(IF(J86="X",1,0),IF(K86="X",2,0),IF(L86="X",3,0),IF(M86="X",4,0)),Puntuaciones!$I$15:$N$67,6,0)</f>
        <v>Mayor exposición de la Lotería al riesgo de LA/FT/FPADM.
Deterioro de los procesos operativos.
Pérdida de reputación.
Procesos judiciales, disciplinarios y/o legales.
Sanciones del supervisor, regulador y/o entes de control.
Pérdida de mercado.
Evento de contagio que afecte a la Lotería por el efecto rebote.</v>
      </c>
      <c r="P86" s="73"/>
      <c r="Q86" s="90"/>
      <c r="R86" s="90"/>
      <c r="S86" s="90"/>
      <c r="T86" s="90"/>
      <c r="U86" s="91"/>
      <c r="V86" s="77"/>
      <c r="W86" s="78"/>
      <c r="X86" s="79"/>
      <c r="AB86" s="23"/>
      <c r="AC86" s="23"/>
      <c r="AH86" s="3"/>
    </row>
    <row r="87" spans="2:34" s="21" customFormat="1" ht="98.25" customHeight="1" x14ac:dyDescent="0.3">
      <c r="B87" s="74"/>
      <c r="C87" s="74" t="s">
        <v>236</v>
      </c>
      <c r="D87" s="74" t="s">
        <v>236</v>
      </c>
      <c r="E87" s="74">
        <f t="shared" si="5"/>
        <v>81</v>
      </c>
      <c r="F87" s="74" t="s">
        <v>359</v>
      </c>
      <c r="G87" s="92" t="str">
        <f>IFERROR(VLOOKUP($C87,Tablas1!$B$3:$C$22,2,0),"ERROR")</f>
        <v>ERROR</v>
      </c>
      <c r="H87" s="93" t="str">
        <f>IFERROR(VLOOKUP(F87,Tablas1!$H$2:$I$14,2,0),"ERROR")</f>
        <v>ERROR</v>
      </c>
      <c r="I87" s="92" t="s">
        <v>369</v>
      </c>
      <c r="J87" s="76" t="s">
        <v>200</v>
      </c>
      <c r="K87" s="76" t="s">
        <v>200</v>
      </c>
      <c r="L87" s="76" t="s">
        <v>200</v>
      </c>
      <c r="M87" s="76" t="s">
        <v>200</v>
      </c>
      <c r="N87" s="75" t="s">
        <v>312</v>
      </c>
      <c r="O87" s="75" t="str">
        <f>VLOOKUP(CONCATENATE(IF(J87="X",1,0),IF(K87="X",2,0),IF(L87="X",3,0),IF(M87="X",4,0)),Puntuaciones!$I$15:$N$67,6,0)</f>
        <v>Mayor exposición de la Lotería al riesgo de LA/FT/FPADM.
Deterioro de los procesos operativos.
Pérdida de reputación.
Procesos judiciales, disciplinarios y/o legales.
Sanciones del supervisor, regulador y/o entes de control.
Pérdida de mercado.
Evento de contagio que afecte a la Lotería por el efecto rebote.</v>
      </c>
      <c r="P87" s="73"/>
      <c r="Q87" s="90"/>
      <c r="R87" s="90"/>
      <c r="S87" s="90"/>
      <c r="T87" s="90"/>
      <c r="U87" s="91"/>
      <c r="V87" s="77"/>
      <c r="W87" s="78"/>
      <c r="X87" s="79"/>
      <c r="AB87" s="23"/>
      <c r="AC87" s="23"/>
      <c r="AH87" s="3"/>
    </row>
    <row r="88" spans="2:34" s="21" customFormat="1" ht="98.25" customHeight="1" x14ac:dyDescent="0.3">
      <c r="B88" s="74"/>
      <c r="C88" s="74" t="s">
        <v>237</v>
      </c>
      <c r="D88" s="74" t="s">
        <v>237</v>
      </c>
      <c r="E88" s="74">
        <f t="shared" si="5"/>
        <v>82</v>
      </c>
      <c r="F88" s="74" t="s">
        <v>242</v>
      </c>
      <c r="G88" s="92" t="str">
        <f>IFERROR(VLOOKUP($C88,Tablas1!$B$3:$C$22,2,0),"ERROR")</f>
        <v>ERROR</v>
      </c>
      <c r="H88" s="93" t="str">
        <f>IFERROR(VLOOKUP(F88,Tablas1!$H$2:$I$14,2,0),"ERROR")</f>
        <v>FAC5</v>
      </c>
      <c r="I88" s="92" t="s">
        <v>370</v>
      </c>
      <c r="J88" s="76" t="s">
        <v>200</v>
      </c>
      <c r="K88" s="76" t="s">
        <v>200</v>
      </c>
      <c r="L88" s="76" t="s">
        <v>200</v>
      </c>
      <c r="M88" s="76" t="s">
        <v>200</v>
      </c>
      <c r="N88" s="75" t="s">
        <v>305</v>
      </c>
      <c r="O88" s="75" t="str">
        <f>VLOOKUP(CONCATENATE(IF(J88="X",1,0),IF(K88="X",2,0),IF(L88="X",3,0),IF(M88="X",4,0)),Puntuaciones!$I$15:$N$67,6,0)</f>
        <v>Mayor exposición de la Lotería al riesgo de LA/FT/FPADM.
Deterioro de los procesos operativos.
Pérdida de reputación.
Procesos judiciales, disciplinarios y/o legales.
Sanciones del supervisor, regulador y/o entes de control.
Pérdida de mercado.
Evento de contagio que afecte a la Lotería por el efecto rebote.</v>
      </c>
      <c r="P88" s="73"/>
      <c r="Q88" s="90"/>
      <c r="R88" s="90"/>
      <c r="S88" s="90"/>
      <c r="T88" s="90"/>
      <c r="U88" s="91"/>
      <c r="V88" s="77"/>
      <c r="W88" s="78"/>
      <c r="X88" s="79"/>
      <c r="AB88" s="23"/>
      <c r="AC88" s="23"/>
      <c r="AH88" s="3"/>
    </row>
    <row r="89" spans="2:34" s="21" customFormat="1" ht="98.25" customHeight="1" x14ac:dyDescent="0.3">
      <c r="B89" s="74"/>
      <c r="C89" s="74" t="s">
        <v>237</v>
      </c>
      <c r="D89" s="74" t="s">
        <v>237</v>
      </c>
      <c r="E89" s="74">
        <f t="shared" si="5"/>
        <v>83</v>
      </c>
      <c r="F89" s="74" t="s">
        <v>359</v>
      </c>
      <c r="G89" s="92" t="str">
        <f>IFERROR(VLOOKUP($C89,Tablas1!$B$3:$C$22,2,0),"ERROR")</f>
        <v>ERROR</v>
      </c>
      <c r="H89" s="93" t="str">
        <f>IFERROR(VLOOKUP(F89,Tablas1!$H$2:$I$14,2,0),"ERROR")</f>
        <v>ERROR</v>
      </c>
      <c r="I89" s="92" t="s">
        <v>371</v>
      </c>
      <c r="J89" s="76" t="s">
        <v>200</v>
      </c>
      <c r="K89" s="76" t="s">
        <v>200</v>
      </c>
      <c r="L89" s="76" t="s">
        <v>200</v>
      </c>
      <c r="M89" s="76" t="s">
        <v>200</v>
      </c>
      <c r="N89" s="75" t="s">
        <v>312</v>
      </c>
      <c r="O89" s="75" t="str">
        <f>VLOOKUP(CONCATENATE(IF(J89="X",1,0),IF(K89="X",2,0),IF(L89="X",3,0),IF(M89="X",4,0)),Puntuaciones!$I$15:$N$67,6,0)</f>
        <v>Mayor exposición de la Lotería al riesgo de LA/FT/FPADM.
Deterioro de los procesos operativos.
Pérdida de reputación.
Procesos judiciales, disciplinarios y/o legales.
Sanciones del supervisor, regulador y/o entes de control.
Pérdida de mercado.
Evento de contagio que afecte a la Lotería por el efecto rebote.</v>
      </c>
      <c r="P89" s="73"/>
      <c r="Q89" s="90"/>
      <c r="R89" s="90"/>
      <c r="S89" s="90"/>
      <c r="T89" s="90"/>
      <c r="U89" s="91"/>
      <c r="V89" s="77"/>
      <c r="W89" s="78"/>
      <c r="X89" s="79"/>
      <c r="AB89" s="23"/>
      <c r="AC89" s="23"/>
      <c r="AH89" s="3"/>
    </row>
  </sheetData>
  <autoFilter ref="B1:AH89"/>
  <dataConsolidate/>
  <conditionalFormatting sqref="Z17:AB17">
    <cfRule type="cellIs" dxfId="181" priority="81" operator="equal">
      <formula>0</formula>
    </cfRule>
  </conditionalFormatting>
  <conditionalFormatting sqref="W2 W6:W18 W22:W89">
    <cfRule type="cellIs" dxfId="180" priority="77" operator="equal">
      <formula>"BAJO"</formula>
    </cfRule>
    <cfRule type="cellIs" dxfId="179" priority="78" operator="equal">
      <formula>"MEDIO"</formula>
    </cfRule>
    <cfRule type="cellIs" dxfId="178" priority="79" operator="equal">
      <formula>"EXTREMO"</formula>
    </cfRule>
    <cfRule type="cellIs" dxfId="177" priority="80" operator="equal">
      <formula>"ALTO"</formula>
    </cfRule>
  </conditionalFormatting>
  <conditionalFormatting sqref="W6:W18 W22:W89 W2">
    <cfRule type="cellIs" dxfId="176" priority="73" operator="equal">
      <formula>"BAJO"</formula>
    </cfRule>
    <cfRule type="cellIs" dxfId="175" priority="74" operator="equal">
      <formula>"MEDIO"</formula>
    </cfRule>
    <cfRule type="cellIs" dxfId="174" priority="75" operator="equal">
      <formula>"EXTREMO"</formula>
    </cfRule>
    <cfRule type="cellIs" dxfId="173" priority="76" operator="equal">
      <formula>"ALTO"</formula>
    </cfRule>
  </conditionalFormatting>
  <conditionalFormatting sqref="W3:W5">
    <cfRule type="cellIs" dxfId="172" priority="68" operator="equal">
      <formula>"BAJO"</formula>
    </cfRule>
    <cfRule type="cellIs" dxfId="171" priority="69" operator="equal">
      <formula>"MEDIO"</formula>
    </cfRule>
    <cfRule type="cellIs" dxfId="170" priority="70" operator="equal">
      <formula>"EXTREMO"</formula>
    </cfRule>
    <cfRule type="cellIs" dxfId="169" priority="71" operator="equal">
      <formula>"ALTO"</formula>
    </cfRule>
  </conditionalFormatting>
  <conditionalFormatting sqref="W3:W5">
    <cfRule type="cellIs" dxfId="168" priority="64" operator="equal">
      <formula>"BAJO"</formula>
    </cfRule>
    <cfRule type="cellIs" dxfId="167" priority="65" operator="equal">
      <formula>"MEDIO"</formula>
    </cfRule>
    <cfRule type="cellIs" dxfId="166" priority="66" operator="equal">
      <formula>"EXTREMO"</formula>
    </cfRule>
    <cfRule type="cellIs" dxfId="165" priority="67" operator="equal">
      <formula>"ALTO"</formula>
    </cfRule>
  </conditionalFormatting>
  <conditionalFormatting sqref="E3:E5">
    <cfRule type="duplicateValues" dxfId="164" priority="72"/>
  </conditionalFormatting>
  <conditionalFormatting sqref="E6:E10">
    <cfRule type="duplicateValues" dxfId="163" priority="63"/>
  </conditionalFormatting>
  <conditionalFormatting sqref="E17">
    <cfRule type="duplicateValues" dxfId="162" priority="62"/>
  </conditionalFormatting>
  <conditionalFormatting sqref="W17">
    <cfRule type="cellIs" dxfId="161" priority="58" operator="equal">
      <formula>"BAJO"</formula>
    </cfRule>
    <cfRule type="cellIs" dxfId="160" priority="59" operator="equal">
      <formula>"MEDIO"</formula>
    </cfRule>
    <cfRule type="cellIs" dxfId="159" priority="60" operator="equal">
      <formula>"EXTREMO"</formula>
    </cfRule>
    <cfRule type="cellIs" dxfId="158" priority="61" operator="equal">
      <formula>"ALTO"</formula>
    </cfRule>
  </conditionalFormatting>
  <conditionalFormatting sqref="W17">
    <cfRule type="cellIs" dxfId="157" priority="54" operator="equal">
      <formula>"BAJO"</formula>
    </cfRule>
    <cfRule type="cellIs" dxfId="156" priority="55" operator="equal">
      <formula>"MEDIO"</formula>
    </cfRule>
    <cfRule type="cellIs" dxfId="155" priority="56" operator="equal">
      <formula>"EXTREMO"</formula>
    </cfRule>
    <cfRule type="cellIs" dxfId="154" priority="57" operator="equal">
      <formula>"ALTO"</formula>
    </cfRule>
  </conditionalFormatting>
  <conditionalFormatting sqref="E18">
    <cfRule type="duplicateValues" dxfId="153" priority="53"/>
  </conditionalFormatting>
  <conditionalFormatting sqref="W21">
    <cfRule type="cellIs" dxfId="152" priority="49" operator="equal">
      <formula>"BAJO"</formula>
    </cfRule>
    <cfRule type="cellIs" dxfId="151" priority="50" operator="equal">
      <formula>"MEDIO"</formula>
    </cfRule>
    <cfRule type="cellIs" dxfId="150" priority="51" operator="equal">
      <formula>"EXTREMO"</formula>
    </cfRule>
    <cfRule type="cellIs" dxfId="149" priority="52" operator="equal">
      <formula>"ALTO"</formula>
    </cfRule>
  </conditionalFormatting>
  <conditionalFormatting sqref="W21">
    <cfRule type="cellIs" dxfId="148" priority="45" operator="equal">
      <formula>"BAJO"</formula>
    </cfRule>
    <cfRule type="cellIs" dxfId="147" priority="46" operator="equal">
      <formula>"MEDIO"</formula>
    </cfRule>
    <cfRule type="cellIs" dxfId="146" priority="47" operator="equal">
      <formula>"EXTREMO"</formula>
    </cfRule>
    <cfRule type="cellIs" dxfId="145" priority="48" operator="equal">
      <formula>"ALTO"</formula>
    </cfRule>
  </conditionalFormatting>
  <conditionalFormatting sqref="W19">
    <cfRule type="cellIs" dxfId="144" priority="40" operator="equal">
      <formula>"BAJO"</formula>
    </cfRule>
    <cfRule type="cellIs" dxfId="143" priority="41" operator="equal">
      <formula>"MEDIO"</formula>
    </cfRule>
    <cfRule type="cellIs" dxfId="142" priority="42" operator="equal">
      <formula>"EXTREMO"</formula>
    </cfRule>
    <cfRule type="cellIs" dxfId="141" priority="43" operator="equal">
      <formula>"ALTO"</formula>
    </cfRule>
  </conditionalFormatting>
  <conditionalFormatting sqref="W19">
    <cfRule type="cellIs" dxfId="140" priority="36" operator="equal">
      <formula>"BAJO"</formula>
    </cfRule>
    <cfRule type="cellIs" dxfId="139" priority="37" operator="equal">
      <formula>"MEDIO"</formula>
    </cfRule>
    <cfRule type="cellIs" dxfId="138" priority="38" operator="equal">
      <formula>"EXTREMO"</formula>
    </cfRule>
    <cfRule type="cellIs" dxfId="137" priority="39" operator="equal">
      <formula>"ALTO"</formula>
    </cfRule>
  </conditionalFormatting>
  <conditionalFormatting sqref="E19">
    <cfRule type="duplicateValues" dxfId="136" priority="44"/>
  </conditionalFormatting>
  <conditionalFormatting sqref="W20">
    <cfRule type="cellIs" dxfId="135" priority="32" operator="equal">
      <formula>"BAJO"</formula>
    </cfRule>
    <cfRule type="cellIs" dxfId="134" priority="33" operator="equal">
      <formula>"MEDIO"</formula>
    </cfRule>
    <cfRule type="cellIs" dxfId="133" priority="34" operator="equal">
      <formula>"EXTREMO"</formula>
    </cfRule>
    <cfRule type="cellIs" dxfId="132" priority="35" operator="equal">
      <formula>"ALTO"</formula>
    </cfRule>
  </conditionalFormatting>
  <conditionalFormatting sqref="W20">
    <cfRule type="cellIs" dxfId="131" priority="28" operator="equal">
      <formula>"BAJO"</formula>
    </cfRule>
    <cfRule type="cellIs" dxfId="130" priority="29" operator="equal">
      <formula>"MEDIO"</formula>
    </cfRule>
    <cfRule type="cellIs" dxfId="129" priority="30" operator="equal">
      <formula>"EXTREMO"</formula>
    </cfRule>
    <cfRule type="cellIs" dxfId="128" priority="31" operator="equal">
      <formula>"ALTO"</formula>
    </cfRule>
  </conditionalFormatting>
  <conditionalFormatting sqref="E32">
    <cfRule type="duplicateValues" dxfId="127" priority="27"/>
  </conditionalFormatting>
  <conditionalFormatting sqref="E2 E10:E12 E14:E16">
    <cfRule type="duplicateValues" dxfId="126" priority="82"/>
  </conditionalFormatting>
  <conditionalFormatting sqref="E13">
    <cfRule type="duplicateValues" dxfId="125" priority="26"/>
  </conditionalFormatting>
  <conditionalFormatting sqref="E38">
    <cfRule type="duplicateValues" dxfId="124" priority="25"/>
  </conditionalFormatting>
  <conditionalFormatting sqref="E39">
    <cfRule type="duplicateValues" dxfId="123" priority="24"/>
  </conditionalFormatting>
  <conditionalFormatting sqref="E53">
    <cfRule type="duplicateValues" dxfId="122" priority="23"/>
  </conditionalFormatting>
  <conditionalFormatting sqref="E52">
    <cfRule type="duplicateValues" dxfId="121" priority="83"/>
  </conditionalFormatting>
  <conditionalFormatting sqref="E55">
    <cfRule type="duplicateValues" dxfId="120" priority="22"/>
  </conditionalFormatting>
  <conditionalFormatting sqref="E61">
    <cfRule type="duplicateValues" dxfId="119" priority="21"/>
  </conditionalFormatting>
  <conditionalFormatting sqref="E62">
    <cfRule type="duplicateValues" dxfId="118" priority="20"/>
  </conditionalFormatting>
  <conditionalFormatting sqref="E63">
    <cfRule type="duplicateValues" dxfId="117" priority="19"/>
  </conditionalFormatting>
  <conditionalFormatting sqref="E64">
    <cfRule type="duplicateValues" dxfId="116" priority="18"/>
  </conditionalFormatting>
  <conditionalFormatting sqref="E57">
    <cfRule type="duplicateValues" dxfId="115" priority="17"/>
  </conditionalFormatting>
  <conditionalFormatting sqref="E58">
    <cfRule type="duplicateValues" dxfId="114" priority="16"/>
  </conditionalFormatting>
  <conditionalFormatting sqref="E59">
    <cfRule type="duplicateValues" dxfId="113" priority="15"/>
  </conditionalFormatting>
  <conditionalFormatting sqref="E56">
    <cfRule type="duplicateValues" dxfId="112" priority="84"/>
  </conditionalFormatting>
  <conditionalFormatting sqref="E60">
    <cfRule type="duplicateValues" dxfId="111" priority="14"/>
  </conditionalFormatting>
  <conditionalFormatting sqref="E65">
    <cfRule type="duplicateValues" dxfId="110" priority="13"/>
  </conditionalFormatting>
  <conditionalFormatting sqref="E66:E67">
    <cfRule type="duplicateValues" dxfId="109" priority="12"/>
  </conditionalFormatting>
  <conditionalFormatting sqref="E36">
    <cfRule type="duplicateValues" dxfId="108" priority="11"/>
  </conditionalFormatting>
  <conditionalFormatting sqref="E69">
    <cfRule type="duplicateValues" dxfId="107" priority="10"/>
  </conditionalFormatting>
  <conditionalFormatting sqref="E20:E31 E33:E35 E40:E51 E54 E37">
    <cfRule type="duplicateValues" dxfId="106" priority="85"/>
  </conditionalFormatting>
  <conditionalFormatting sqref="E79:E80">
    <cfRule type="duplicateValues" dxfId="105" priority="9"/>
  </conditionalFormatting>
  <conditionalFormatting sqref="E81:E82">
    <cfRule type="duplicateValues" dxfId="104" priority="8"/>
  </conditionalFormatting>
  <conditionalFormatting sqref="E83:E85">
    <cfRule type="duplicateValues" dxfId="103" priority="7"/>
  </conditionalFormatting>
  <conditionalFormatting sqref="E86:E87">
    <cfRule type="duplicateValues" dxfId="102" priority="6"/>
  </conditionalFormatting>
  <conditionalFormatting sqref="E88:E89">
    <cfRule type="duplicateValues" dxfId="101" priority="5"/>
  </conditionalFormatting>
  <conditionalFormatting sqref="E90:F1048576">
    <cfRule type="duplicateValues" dxfId="100" priority="86"/>
  </conditionalFormatting>
  <conditionalFormatting sqref="E68">
    <cfRule type="duplicateValues" dxfId="99" priority="87"/>
  </conditionalFormatting>
  <conditionalFormatting sqref="E70:E78">
    <cfRule type="duplicateValues" dxfId="98" priority="88"/>
  </conditionalFormatting>
  <conditionalFormatting sqref="W1">
    <cfRule type="cellIs" dxfId="97" priority="1" operator="equal">
      <formula>"BAJO"</formula>
    </cfRule>
    <cfRule type="cellIs" dxfId="96" priority="2" operator="equal">
      <formula>"MEDIO"</formula>
    </cfRule>
    <cfRule type="cellIs" dxfId="95" priority="3" operator="equal">
      <formula>"EXTREMO"</formula>
    </cfRule>
    <cfRule type="cellIs" dxfId="94" priority="4" operator="equal">
      <formula>"ALTO"</formula>
    </cfRule>
  </conditionalFormatting>
  <dataValidations count="6">
    <dataValidation type="list" operator="greaterThanOrEqual" allowBlank="1" showInputMessage="1" showErrorMessage="1" sqref="Q90:U1048576 Q2:T89">
      <formula1>"0,1,2,3,4,5"</formula1>
    </dataValidation>
    <dataValidation type="list" allowBlank="1" showInputMessage="1" showErrorMessage="1" sqref="C90:C1048576">
      <formula1>$C$1:$C$1</formula1>
    </dataValidation>
    <dataValidation type="list" allowBlank="1" showInputMessage="1" showErrorMessage="1" sqref="D90:D1048576">
      <formula1>$E$1:$E$1</formula1>
    </dataValidation>
    <dataValidation operator="greaterThanOrEqual" allowBlank="1" showInputMessage="1" showErrorMessage="1" sqref="U2:U89"/>
    <dataValidation type="list" allowBlank="1" showInputMessage="1" showErrorMessage="1" sqref="J2:M89">
      <formula1>"X"</formula1>
    </dataValidation>
    <dataValidation type="list" allowBlank="1" showInputMessage="1" showErrorMessage="1" sqref="P2:P89 V90:W1048576">
      <formula1>"1,2,3,4,5"</formula1>
    </dataValidation>
  </dataValidations>
  <pageMargins left="0.70866141732283472" right="0.70866141732283472" top="0.74803149606299213" bottom="0.74803149606299213" header="0.31496062992125984" footer="0.31496062992125984"/>
  <pageSetup orientation="landscape" r:id="rId1"/>
  <drawing r:id="rId2"/>
  <extLst>
    <ext xmlns:x14="http://schemas.microsoft.com/office/spreadsheetml/2009/9/main" uri="{CCE6A557-97BC-4b89-ADB6-D9C93CAAB3DF}">
      <x14:dataValidations xmlns:xm="http://schemas.microsoft.com/office/excel/2006/main" count="7">
        <x14:dataValidation type="list" allowBlank="1" showInputMessage="1" showErrorMessage="1">
          <x14:formula1>
            <xm:f>Tablas1!$E$3:$E$28</xm:f>
          </x14:formula1>
          <xm:sqref>D88:D89</xm:sqref>
        </x14:dataValidation>
        <x14:dataValidation type="list" allowBlank="1" showInputMessage="1" showErrorMessage="1">
          <x14:formula1>
            <xm:f>Tablas1!$E$3:$E$27</xm:f>
          </x14:formula1>
          <xm:sqref>D2:D87</xm:sqref>
        </x14:dataValidation>
        <x14:dataValidation type="list" allowBlank="1" showInputMessage="1" showErrorMessage="1">
          <x14:formula1>
            <xm:f>Tablas1!$I$3:$I$12</xm:f>
          </x14:formula1>
          <xm:sqref>H90:H1048576</xm:sqref>
        </x14:dataValidation>
        <x14:dataValidation type="custom" allowBlank="1" showInputMessage="1" showErrorMessage="1">
          <x14:formula1>
            <xm:f>IFERROR(VLOOKUP(#REF!,Tablas1!$H$2:$I$12,2,0),"ERROR")</xm:f>
          </x14:formula1>
          <xm:sqref>H2:H89</xm:sqref>
        </x14:dataValidation>
        <x14:dataValidation type="list" allowBlank="1" showInputMessage="1" showErrorMessage="1">
          <x14:formula1>
            <xm:f>Tablas1!$H$3:$H$12</xm:f>
          </x14:formula1>
          <xm:sqref>F2:F1048576</xm:sqref>
        </x14:dataValidation>
        <x14:dataValidation type="list" allowBlank="1" showInputMessage="1" showErrorMessage="1">
          <x14:formula1>
            <xm:f>Tablas1!$C$3:$C$22</xm:f>
          </x14:formula1>
          <xm:sqref>G90:G1048576</xm:sqref>
        </x14:dataValidation>
        <x14:dataValidation type="list" allowBlank="1" showInputMessage="1" showErrorMessage="1">
          <x14:formula1>
            <xm:f>Tablas1!$B$3:$B$22</xm:f>
          </x14:formula1>
          <xm:sqref>C2:C89</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B4:M21"/>
  <sheetViews>
    <sheetView showGridLines="0" zoomScaleNormal="100" workbookViewId="0">
      <selection activeCell="F14" sqref="F14"/>
    </sheetView>
  </sheetViews>
  <sheetFormatPr baseColWidth="10" defaultColWidth="11.5546875" defaultRowHeight="14.4" x14ac:dyDescent="0.3"/>
  <cols>
    <col min="2" max="2" width="47.77734375" style="14" customWidth="1"/>
    <col min="3" max="3" width="18.77734375" bestFit="1" customWidth="1"/>
    <col min="4" max="4" width="19.5546875" bestFit="1" customWidth="1"/>
    <col min="5" max="5" width="16.44140625" customWidth="1"/>
    <col min="6" max="6" width="19.5546875" customWidth="1"/>
    <col min="8" max="8" width="30.5546875" customWidth="1"/>
    <col min="9" max="9" width="16.44140625" customWidth="1"/>
    <col min="10" max="10" width="16.77734375" customWidth="1"/>
    <col min="12" max="12" width="22.21875" customWidth="1"/>
    <col min="13" max="13" width="14.77734375" customWidth="1"/>
  </cols>
  <sheetData>
    <row r="4" spans="2:13" x14ac:dyDescent="0.3">
      <c r="C4" s="195"/>
      <c r="D4" s="195"/>
      <c r="E4" s="195"/>
      <c r="F4" s="195"/>
    </row>
    <row r="5" spans="2:13" ht="30" customHeight="1" x14ac:dyDescent="0.3">
      <c r="B5" s="129" t="s">
        <v>7</v>
      </c>
      <c r="C5" s="130" t="s">
        <v>21</v>
      </c>
      <c r="D5" s="130" t="s">
        <v>86</v>
      </c>
      <c r="E5" s="130" t="s">
        <v>87</v>
      </c>
      <c r="F5" s="131" t="s">
        <v>88</v>
      </c>
      <c r="H5" s="69" t="s">
        <v>271</v>
      </c>
      <c r="I5" s="69" t="s">
        <v>94</v>
      </c>
      <c r="J5" s="70" t="s">
        <v>193</v>
      </c>
      <c r="L5" s="70" t="s">
        <v>425</v>
      </c>
      <c r="M5" s="70" t="s">
        <v>95</v>
      </c>
    </row>
    <row r="6" spans="2:13" ht="30" customHeight="1" x14ac:dyDescent="0.3">
      <c r="B6" s="80" t="s">
        <v>435</v>
      </c>
      <c r="C6" s="126">
        <f ca="1">IFERROR(AVERAGEIF('R I'!$G$6:$G$1048576,Tableau11[[#This Row],[FACTOR DE RIESGO]],'R I'!Q$7:Q$1048576),"")</f>
        <v>2</v>
      </c>
      <c r="D6" s="126">
        <f ca="1">IFERROR(AVERAGEIF('R I'!$G$6:$G$1048576,Tableau11[[#This Row],[FACTOR DE RIESGO]],'R I'!AA$7:AA$1048576),"")</f>
        <v>3.5</v>
      </c>
      <c r="E6" s="126">
        <f ca="1">IFERROR(ROUND(C6*D6,0),"")</f>
        <v>7</v>
      </c>
      <c r="F6" s="18" t="str">
        <f t="shared" ref="F6:F10" ca="1" si="0">IF(AND(E6&gt;0,E6&lt;8),"BAJO",IF(AND(E6&gt;=8,E6&lt;14),"MEDIO",IF(AND(E6&gt;=14,E6&lt;20),"ALTO",IF(AND(E6&gt;=20,E6&lt;26),"EXTREMO",""))))</f>
        <v>BAJO</v>
      </c>
      <c r="G6" s="19"/>
      <c r="H6" s="80" t="str">
        <f>Tablas1!B3</f>
        <v>Control Interno Disciplinario</v>
      </c>
      <c r="I6" s="126">
        <f>IFERROR(AVERAGEIF('R I'!$C$7:$C$1048576,Tableau10[[#This Row],[Procesos/Áreas de Práctica]],'R I'!$Q$7:$Q$1048576),0)</f>
        <v>0</v>
      </c>
      <c r="J6" s="126">
        <f>IFERROR(AVERAGEIF('R I'!$C$7:$C$1048576,Tableau10[[#This Row],[Procesos/Áreas de Práctica]],'R I'!$AA$7:$AA$1048576),0)</f>
        <v>0</v>
      </c>
      <c r="L6" s="80" t="str">
        <f>Tablas1!B24</f>
        <v>Riesgo de Contagio</v>
      </c>
      <c r="M6" s="126">
        <f>IFERROR(AVERAGE('R I'!$W$7:$W$1048576),0)</f>
        <v>2.9333333333333331</v>
      </c>
    </row>
    <row r="7" spans="2:13" ht="30" customHeight="1" x14ac:dyDescent="0.3">
      <c r="B7" s="35" t="s">
        <v>243</v>
      </c>
      <c r="C7" s="126">
        <f ca="1">IFERROR(AVERAGEIF('R I'!$G$6:$G$1048576,Tableau11[[#This Row],[FACTOR DE RIESGO]],'R I'!Q$7:Q$1048576),"")</f>
        <v>3</v>
      </c>
      <c r="D7" s="126">
        <f ca="1">IFERROR(AVERAGEIF('R I'!$G$6:$G$1048576,Tableau11[[#This Row],[FACTOR DE RIESGO]],'R I'!AA$7:AA$1048576),"")</f>
        <v>3</v>
      </c>
      <c r="E7" s="126">
        <f t="shared" ref="E7:E10" ca="1" si="1">IFERROR(ROUND(C7*D7,0),"")</f>
        <v>9</v>
      </c>
      <c r="F7" s="18" t="str">
        <f t="shared" ca="1" si="0"/>
        <v>MEDIO</v>
      </c>
      <c r="H7" s="80" t="str">
        <f>Tablas1!B4</f>
        <v>Gestión Financiera y Contable</v>
      </c>
      <c r="I7" s="126">
        <f>IFERROR(AVERAGEIF('R I'!$C$7:$C$1048576,Tableau10[[#This Row],[Procesos/Áreas de Práctica]],'R I'!$Q$7:$Q$1048576),0)</f>
        <v>2.6666666666666665</v>
      </c>
      <c r="J7" s="126">
        <f>IFERROR(AVERAGEIF('R I'!$C$7:$C$1048576,Tableau10[[#This Row],[Procesos/Áreas de Práctica]],'R I'!$AA$7:$AA$1048576),0)</f>
        <v>3.0833333333333335</v>
      </c>
      <c r="L7" s="80" t="str">
        <f>Tablas1!B25</f>
        <v>Riesgo Legal</v>
      </c>
      <c r="M7" s="126">
        <f>IFERROR(AVERAGE('R I'!$X$7:$X$1048576),0)</f>
        <v>3.6</v>
      </c>
    </row>
    <row r="8" spans="2:13" ht="30" customHeight="1" x14ac:dyDescent="0.3">
      <c r="B8" s="35" t="s">
        <v>530</v>
      </c>
      <c r="C8" s="126">
        <f ca="1">IFERROR(AVERAGEIF('R I'!$G$6:$G$1048576,Tableau11[[#This Row],[FACTOR DE RIESGO]],'R I'!Q$7:Q$1048576),"")</f>
        <v>2.4</v>
      </c>
      <c r="D8" s="126">
        <f ca="1">IFERROR(AVERAGEIF('R I'!$G$6:$G$1048576,Tableau11[[#This Row],[FACTOR DE RIESGO]],'R I'!AA$7:AA$1048576),"")</f>
        <v>3.2666666666666666</v>
      </c>
      <c r="E8" s="126">
        <f t="shared" ca="1" si="1"/>
        <v>8</v>
      </c>
      <c r="F8" s="18" t="str">
        <f t="shared" ca="1" si="0"/>
        <v>MEDIO</v>
      </c>
      <c r="H8" s="80" t="str">
        <f>Tablas1!B5</f>
        <v>Evaluación Independiente y Control a la Gestión</v>
      </c>
      <c r="I8" s="126">
        <f>IFERROR(AVERAGEIF('R I'!$C$7:$C$1048576,Tableau10[[#This Row],[Procesos/Áreas de Práctica]],'R I'!$Q$7:$Q$1048576),0)</f>
        <v>0</v>
      </c>
      <c r="J8" s="126">
        <f>IFERROR(AVERAGEIF('R I'!$C$7:$C$1048576,Tableau10[[#This Row],[Procesos/Áreas de Práctica]],'R I'!$AA$7:$AA$1048576),0)</f>
        <v>0</v>
      </c>
      <c r="L8" s="80" t="str">
        <f>Tablas1!B26</f>
        <v>Riesgo Reputacional</v>
      </c>
      <c r="M8" s="126">
        <f>IFERROR(AVERAGE('R I'!$Y$7:$Y$1048576),0)</f>
        <v>3.7333333333333334</v>
      </c>
    </row>
    <row r="9" spans="2:13" ht="30" customHeight="1" x14ac:dyDescent="0.3">
      <c r="B9" s="35" t="s">
        <v>242</v>
      </c>
      <c r="C9" s="126">
        <f ca="1">IFERROR(AVERAGEIF('R I'!$G$6:$G$1048576,Tableau11[[#This Row],[FACTOR DE RIESGO]],'R I'!Q$7:Q$1048576),"")</f>
        <v>3</v>
      </c>
      <c r="D9" s="126">
        <f ca="1">IFERROR(AVERAGEIF('R I'!$G$6:$G$1048576,Tableau11[[#This Row],[FACTOR DE RIESGO]],'R I'!AA$7:AA$1048576),"")</f>
        <v>3.75</v>
      </c>
      <c r="E9" s="126">
        <f t="shared" ca="1" si="1"/>
        <v>11</v>
      </c>
      <c r="F9" s="18" t="str">
        <f ca="1">IF(AND(E9&gt;0,E9&lt;8),"BAJO",IF(AND(E9&gt;=8,E9&lt;14),"MEDIO",IF(AND(E9&gt;=14,E9&lt;20),"ALTO",IF(AND(E9&gt;=20,E9&lt;26),"EXTREMO",""))))</f>
        <v>MEDIO</v>
      </c>
      <c r="H9" s="80" t="str">
        <f>Tablas1!B6</f>
        <v>Atención y Servicio al Cliente</v>
      </c>
      <c r="I9" s="126">
        <f>IFERROR(AVERAGEIF('R I'!$C$7:$C$1048576,Tableau10[[#This Row],[Procesos/Áreas de Práctica]],'R I'!$Q$7:$Q$1048576),0)</f>
        <v>0</v>
      </c>
      <c r="J9" s="126">
        <f>IFERROR(AVERAGEIF('R I'!$C$7:$C$1048576,Tableau10[[#This Row],[Procesos/Áreas de Práctica]],'R I'!$AA$7:$AA$1048576),0)</f>
        <v>0</v>
      </c>
      <c r="L9" s="80" t="str">
        <f>Tablas1!B27</f>
        <v>Riesgo Operativo</v>
      </c>
      <c r="M9" s="126">
        <f>IFERROR(AVERAGE('R I'!$Z$7:$Z$1048576),0)</f>
        <v>3</v>
      </c>
    </row>
    <row r="10" spans="2:13" ht="30" customHeight="1" x14ac:dyDescent="0.3">
      <c r="B10" s="35" t="s">
        <v>563</v>
      </c>
      <c r="C10" s="126">
        <f ca="1">IFERROR(AVERAGEIF('R I'!$G$6:$G$1048576,Tableau11[[#This Row],[FACTOR DE RIESGO]],'R I'!Q$7:Q$1048576),"")</f>
        <v>4</v>
      </c>
      <c r="D10" s="126">
        <f ca="1">IFERROR(AVERAGEIF('R I'!$G$6:$G$1048576,Tableau11[[#This Row],[FACTOR DE RIESGO]],'R I'!AA$7:AA$1048576),"")</f>
        <v>4</v>
      </c>
      <c r="E10" s="126">
        <f t="shared" ca="1" si="1"/>
        <v>16</v>
      </c>
      <c r="F10" s="18" t="str">
        <f t="shared" ca="1" si="0"/>
        <v>ALTO</v>
      </c>
      <c r="H10" s="80" t="str">
        <f>Tablas1!B7</f>
        <v xml:space="preserve">Explotación de JSA </v>
      </c>
      <c r="I10" s="126">
        <f>IFERROR(AVERAGEIF('R I'!$C$7:$C$1048576,Tableau10[[#This Row],[Procesos/Áreas de Práctica]],'R I'!$Q$7:$Q$1048576),0)</f>
        <v>4</v>
      </c>
      <c r="J10" s="126">
        <f>IFERROR(AVERAGEIF('R I'!$C$7:$C$1048576,Tableau10[[#This Row],[Procesos/Áreas de Práctica]],'R I'!$AA$7:$AA$1048576),0)</f>
        <v>4.75</v>
      </c>
      <c r="L10" s="80"/>
      <c r="M10" s="126"/>
    </row>
    <row r="11" spans="2:13" ht="30" customHeight="1" x14ac:dyDescent="0.3">
      <c r="H11" s="80" t="str">
        <f>Tablas1!B8</f>
        <v>Gestión de Bienes y Servicios</v>
      </c>
      <c r="I11" s="126">
        <f>IFERROR(AVERAGEIF('R I'!$C$7:$C$1048576,Tableau10[[#This Row],[Procesos/Áreas de Práctica]],'R I'!$Q$7:$Q$1048576),0)</f>
        <v>0</v>
      </c>
      <c r="J11" s="126">
        <f>IFERROR(AVERAGEIF('R I'!$C$7:$C$1048576,Tableau10[[#This Row],[Procesos/Áreas de Práctica]],'R I'!$AA$7:$AA$1048576),0)</f>
        <v>0</v>
      </c>
      <c r="L11" s="80"/>
      <c r="M11" s="126"/>
    </row>
    <row r="12" spans="2:13" ht="30" customHeight="1" x14ac:dyDescent="0.3">
      <c r="H12" s="80" t="str">
        <f>Tablas1!B9</f>
        <v>Gestión de Comunicaciones</v>
      </c>
      <c r="I12" s="126">
        <f>IFERROR(AVERAGEIF('R I'!$C$7:$C$1048576,Tableau10[[#This Row],[Procesos/Áreas de Práctica]],'R I'!$Q$7:$Q$1048576),0)</f>
        <v>3</v>
      </c>
      <c r="J12" s="126">
        <f>IFERROR(AVERAGEIF('R I'!$C$7:$C$1048576,Tableau10[[#This Row],[Procesos/Áreas de Práctica]],'R I'!$AA$7:$AA$1048576),0)</f>
        <v>2.75</v>
      </c>
      <c r="L12" s="80"/>
      <c r="M12" s="126"/>
    </row>
    <row r="13" spans="2:13" ht="30" customHeight="1" x14ac:dyDescent="0.3">
      <c r="H13" s="80" t="str">
        <f>Tablas1!B10</f>
        <v>Gestión de Talento Humano</v>
      </c>
      <c r="I13" s="126">
        <f>IFERROR(AVERAGEIF('R I'!$C$7:$C$1048576,Tableau10[[#This Row],[Procesos/Áreas de Práctica]],'R I'!$Q$7:$Q$1048576),0)</f>
        <v>0</v>
      </c>
      <c r="J13" s="126">
        <f>IFERROR(AVERAGEIF('R I'!$C$7:$C$1048576,Tableau10[[#This Row],[Procesos/Áreas de Práctica]],'R I'!$AA$7:$AA$1048576),0)</f>
        <v>0</v>
      </c>
      <c r="L13" s="80"/>
      <c r="M13" s="126"/>
    </row>
    <row r="14" spans="2:13" ht="30" customHeight="1" x14ac:dyDescent="0.3">
      <c r="H14" s="80" t="str">
        <f>Tablas1!B11</f>
        <v>Gestión Documental</v>
      </c>
      <c r="I14" s="126">
        <f>IFERROR(AVERAGEIF('R I'!$C$7:$C$1048576,Tableau10[[#This Row],[Procesos/Áreas de Práctica]],'R I'!$Q$7:$Q$1048576),0)</f>
        <v>0</v>
      </c>
      <c r="J14" s="126">
        <f>IFERROR(AVERAGEIF('R I'!$C$7:$C$1048576,Tableau10[[#This Row],[Procesos/Áreas de Práctica]],'R I'!$AA$7:$AA$1048576),0)</f>
        <v>0</v>
      </c>
      <c r="L14" s="80"/>
      <c r="M14" s="126"/>
    </row>
    <row r="15" spans="2:13" ht="30" customHeight="1" x14ac:dyDescent="0.3">
      <c r="H15" s="80" t="str">
        <f>Tablas1!B12</f>
        <v>Control Inspección y Fiscalización</v>
      </c>
      <c r="I15" s="126">
        <f>IFERROR(AVERAGEIF('R I'!$C$7:$C$1048576,Tableau10[[#This Row],[Procesos/Áreas de Práctica]],'R I'!$Q$7:$Q$1048576),0)</f>
        <v>0</v>
      </c>
      <c r="J15" s="126">
        <f>IFERROR(AVERAGEIF('R I'!$C$7:$C$1048576,Tableau10[[#This Row],[Procesos/Áreas de Práctica]],'R I'!$AA$7:$AA$1048576),0)</f>
        <v>0</v>
      </c>
      <c r="L15" s="80"/>
      <c r="M15" s="126"/>
    </row>
    <row r="16" spans="2:13" ht="30" customHeight="1" x14ac:dyDescent="0.3">
      <c r="H16" s="80" t="str">
        <f>Tablas1!B13</f>
        <v>Gestión Jurídica</v>
      </c>
      <c r="I16" s="126">
        <f>IFERROR(AVERAGEIF('R I'!$C$7:$C$1048576,Tableau10[[#This Row],[Procesos/Áreas de Práctica]],'R I'!$Q$7:$Q$1048576),0)</f>
        <v>0</v>
      </c>
      <c r="J16" s="126">
        <f>IFERROR(AVERAGEIF('R I'!$C$7:$C$1048576,Tableau10[[#This Row],[Procesos/Áreas de Práctica]],'R I'!$AA$7:$AA$1048576),0)</f>
        <v>0</v>
      </c>
      <c r="L16" s="80"/>
      <c r="M16" s="126"/>
    </row>
    <row r="17" spans="8:13" ht="30" customHeight="1" x14ac:dyDescent="0.3">
      <c r="H17" s="80" t="str">
        <f>Tablas1!B14</f>
        <v>Gestión de las Tecnologías y la Información</v>
      </c>
      <c r="I17" s="126">
        <f>IFERROR(AVERAGEIF('R I'!$C$7:$C$1048576,Tableau10[[#This Row],[Procesos/Áreas de Práctica]],'R I'!$Q$7:$Q$1048576),0)</f>
        <v>3.5</v>
      </c>
      <c r="J17" s="126">
        <f>IFERROR(AVERAGEIF('R I'!$C$7:$C$1048576,Tableau10[[#This Row],[Procesos/Áreas de Práctica]],'R I'!$AA$7:$AA$1048576),0)</f>
        <v>3.5</v>
      </c>
      <c r="L17" s="80"/>
      <c r="M17" s="126"/>
    </row>
    <row r="18" spans="8:13" ht="30" customHeight="1" x14ac:dyDescent="0.3">
      <c r="H18" s="135" t="str">
        <f>Tablas1!B15</f>
        <v>Planeación y Direccionamiento Estratégico</v>
      </c>
      <c r="I18" s="126">
        <f>IFERROR(AVERAGEIF('R I'!$C$7:$C$1048576,Tableau10[[#This Row],[Procesos/Áreas de Práctica]],'R I'!$Q$7:$Q$1048576),0)</f>
        <v>2</v>
      </c>
      <c r="J18" s="126">
        <f>IFERROR(AVERAGEIF('R I'!$C$7:$C$1048576,Tableau10[[#This Row],[Procesos/Áreas de Práctica]],'R I'!$AA$7:$AA$1048576),0)</f>
        <v>3.333333333333333</v>
      </c>
      <c r="L18" s="80"/>
      <c r="M18" s="126"/>
    </row>
    <row r="19" spans="8:13" ht="30" customHeight="1" x14ac:dyDescent="0.3">
      <c r="H19" s="135" t="str">
        <f>Tablas1!B16</f>
        <v>Gestión de Recaudo</v>
      </c>
      <c r="I19" s="126">
        <f>IFERROR(AVERAGEIF('R I'!$C$7:$C$1048576,Tableau10[[#This Row],[Procesos/Áreas de Práctica]],'R I'!$Q$7:$Q$1048576),0)</f>
        <v>0</v>
      </c>
      <c r="J19" s="126">
        <f>IFERROR(AVERAGEIF('R I'!$C$7:$C$1048576,Tableau10[[#This Row],[Procesos/Áreas de Práctica]],'R I'!$AA$7:$AA$1048576),0)</f>
        <v>0</v>
      </c>
      <c r="L19" s="80"/>
      <c r="M19" s="126"/>
    </row>
    <row r="20" spans="8:13" ht="30" customHeight="1" x14ac:dyDescent="0.3">
      <c r="H20" s="135" t="str">
        <f>Tablas1!B17</f>
        <v>Gestión de LA/FT/FPADM</v>
      </c>
      <c r="I20" s="126">
        <f>IFERROR(AVERAGEIF('R I'!$C$7:$C$1048576,Tableau10[[#This Row],[Procesos/Áreas de Práctica]],'R I'!$Q$7:$Q$1048576),0)</f>
        <v>0</v>
      </c>
      <c r="J20" s="126">
        <f>IFERROR(AVERAGEIF('R I'!$C$7:$C$1048576,Tableau10[[#This Row],[Procesos/Áreas de Práctica]],'R I'!$AA$7:$AA$1048576),0)</f>
        <v>0</v>
      </c>
      <c r="L20" s="80"/>
      <c r="M20" s="126"/>
    </row>
    <row r="21" spans="8:13" x14ac:dyDescent="0.3">
      <c r="I21" s="61"/>
      <c r="J21" s="126"/>
    </row>
  </sheetData>
  <mergeCells count="1">
    <mergeCell ref="C4:F4"/>
  </mergeCells>
  <conditionalFormatting sqref="F6">
    <cfRule type="cellIs" dxfId="93" priority="193" operator="equal">
      <formula>"BAJO"</formula>
    </cfRule>
    <cfRule type="cellIs" dxfId="92" priority="194" operator="equal">
      <formula>"MEDIO"</formula>
    </cfRule>
    <cfRule type="cellIs" dxfId="91" priority="195" operator="equal">
      <formula>"EXTREMO"</formula>
    </cfRule>
    <cfRule type="cellIs" dxfId="90" priority="196" operator="equal">
      <formula>"ALTO"</formula>
    </cfRule>
  </conditionalFormatting>
  <conditionalFormatting sqref="F7">
    <cfRule type="cellIs" dxfId="89" priority="37" operator="equal">
      <formula>"BAJO"</formula>
    </cfRule>
    <cfRule type="cellIs" dxfId="88" priority="38" operator="equal">
      <formula>"MEDIO"</formula>
    </cfRule>
    <cfRule type="cellIs" dxfId="87" priority="39" operator="equal">
      <formula>"EXTREMO"</formula>
    </cfRule>
    <cfRule type="cellIs" dxfId="86" priority="40" operator="equal">
      <formula>"ALTO"</formula>
    </cfRule>
  </conditionalFormatting>
  <conditionalFormatting sqref="F8">
    <cfRule type="cellIs" dxfId="85" priority="29" operator="equal">
      <formula>"BAJO"</formula>
    </cfRule>
    <cfRule type="cellIs" dxfId="84" priority="30" operator="equal">
      <formula>"MEDIO"</formula>
    </cfRule>
    <cfRule type="cellIs" dxfId="83" priority="31" operator="equal">
      <formula>"EXTREMO"</formula>
    </cfRule>
    <cfRule type="cellIs" dxfId="82" priority="32" operator="equal">
      <formula>"ALTO"</formula>
    </cfRule>
  </conditionalFormatting>
  <conditionalFormatting sqref="F9">
    <cfRule type="cellIs" dxfId="81" priority="25" operator="equal">
      <formula>"BAJO"</formula>
    </cfRule>
    <cfRule type="cellIs" dxfId="80" priority="26" operator="equal">
      <formula>"MEDIO"</formula>
    </cfRule>
    <cfRule type="cellIs" dxfId="79" priority="27" operator="equal">
      <formula>"EXTREMO"</formula>
    </cfRule>
    <cfRule type="cellIs" dxfId="78" priority="28" operator="equal">
      <formula>"ALTO"</formula>
    </cfRule>
  </conditionalFormatting>
  <conditionalFormatting sqref="F10">
    <cfRule type="cellIs" dxfId="77" priority="21" operator="equal">
      <formula>"BAJO"</formula>
    </cfRule>
    <cfRule type="cellIs" dxfId="76" priority="22" operator="equal">
      <formula>"MEDIO"</formula>
    </cfRule>
    <cfRule type="cellIs" dxfId="75" priority="23" operator="equal">
      <formula>"EXTREMO"</formula>
    </cfRule>
    <cfRule type="cellIs" dxfId="74" priority="24" operator="equal">
      <formula>"ALTO"</formula>
    </cfRule>
  </conditionalFormatting>
  <conditionalFormatting sqref="F1:F1048576">
    <cfRule type="cellIs" dxfId="73" priority="15" operator="equal">
      <formula>"EXTREMO"</formula>
    </cfRule>
  </conditionalFormatting>
  <pageMargins left="0.7" right="0.7" top="0.75" bottom="0.75" header="0.3" footer="0.3"/>
  <pageSetup paperSize="9" orientation="portrait" r:id="rId1"/>
  <ignoredErrors>
    <ignoredError sqref="M6:M9" calculatedColumn="1"/>
  </ignoredErrors>
  <drawing r:id="rId2"/>
  <tableParts count="3">
    <tablePart r:id="rId3"/>
    <tablePart r:id="rId4"/>
    <tablePart r:id="rId5"/>
  </tableParts>
  <extLst>
    <ext xmlns:x14="http://schemas.microsoft.com/office/spreadsheetml/2009/9/main" uri="{CCE6A557-97BC-4b89-ADB6-D9C93CAAB3DF}">
      <x14:dataValidations xmlns:xm="http://schemas.microsoft.com/office/excel/2006/main" count="1">
        <x14:dataValidation type="list" allowBlank="1" showInputMessage="1" showErrorMessage="1">
          <x14:formula1>
            <xm:f>Tablas1!$H$3:$H$12</xm:f>
          </x14:formula1>
          <xm:sqref>B6:B10</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AV275"/>
  <sheetViews>
    <sheetView showGridLines="0" zoomScale="115" zoomScaleNormal="115" workbookViewId="0">
      <selection activeCell="B7" sqref="B7:B8"/>
    </sheetView>
  </sheetViews>
  <sheetFormatPr baseColWidth="10" defaultColWidth="11.21875" defaultRowHeight="13.8" x14ac:dyDescent="0.3"/>
  <cols>
    <col min="1" max="1" width="5.5546875" style="26" customWidth="1"/>
    <col min="2" max="2" width="13.77734375" style="25" customWidth="1"/>
    <col min="3" max="3" width="51.77734375" style="54" customWidth="1"/>
    <col min="4" max="4" width="59.21875" style="55" customWidth="1"/>
    <col min="5" max="5" width="41.77734375" style="27" customWidth="1"/>
    <col min="6" max="6" width="15.21875" style="27" customWidth="1"/>
    <col min="7" max="7" width="19.21875" style="25" customWidth="1"/>
    <col min="8" max="8" width="15.77734375" style="27" customWidth="1"/>
    <col min="9" max="9" width="13.77734375" style="27" customWidth="1"/>
    <col min="10" max="10" width="27.21875" style="27" customWidth="1"/>
    <col min="11" max="11" width="22" style="27" customWidth="1"/>
    <col min="12" max="13" width="27.21875" style="27" customWidth="1"/>
    <col min="14" max="14" width="30.21875" style="27" customWidth="1"/>
    <col min="15" max="15" width="18.21875" style="27" customWidth="1"/>
    <col min="16" max="16" width="21.21875" style="25" customWidth="1"/>
    <col min="17" max="17" width="18.77734375" style="25" customWidth="1"/>
    <col min="18" max="19" width="17" style="25" customWidth="1"/>
    <col min="20" max="20" width="18.77734375" style="27" customWidth="1"/>
    <col min="21" max="23" width="23.5546875" style="25" customWidth="1"/>
    <col min="24" max="24" width="20.21875" style="27" bestFit="1" customWidth="1"/>
    <col min="25" max="26" width="22.77734375" style="27" customWidth="1"/>
    <col min="27" max="27" width="22.77734375" style="27" hidden="1" customWidth="1"/>
    <col min="28" max="28" width="21.21875" style="27" bestFit="1" customWidth="1"/>
    <col min="29" max="29" width="14.77734375" style="27" bestFit="1" customWidth="1"/>
    <col min="30" max="30" width="14.77734375" style="27" customWidth="1"/>
    <col min="31" max="31" width="23.21875" style="27" customWidth="1"/>
    <col min="32" max="32" width="11.21875" style="26"/>
    <col min="33" max="33" width="25.21875" style="28" bestFit="1" customWidth="1"/>
    <col min="34" max="34" width="29.21875" style="28" bestFit="1" customWidth="1"/>
    <col min="35" max="35" width="3.77734375" style="28" customWidth="1"/>
    <col min="36" max="36" width="25.77734375" style="28" bestFit="1" customWidth="1"/>
    <col min="37" max="37" width="3.21875" style="28" customWidth="1"/>
    <col min="38" max="38" width="26.21875" style="28" customWidth="1"/>
    <col min="39" max="39" width="4.21875" style="28" customWidth="1"/>
    <col min="40" max="40" width="26.77734375" style="28" customWidth="1"/>
    <col min="41" max="41" width="16.21875" style="28" bestFit="1" customWidth="1"/>
    <col min="42" max="42" width="32.21875" style="28" customWidth="1"/>
    <col min="43" max="43" width="7.21875" style="26" customWidth="1"/>
    <col min="44" max="44" width="14.44140625" style="26" customWidth="1"/>
    <col min="45" max="45" width="7.21875" style="26" customWidth="1"/>
    <col min="46" max="46" width="23.21875" style="26" customWidth="1"/>
    <col min="47" max="47" width="18.21875" style="26" hidden="1" customWidth="1"/>
    <col min="48" max="16384" width="11.21875" style="26"/>
  </cols>
  <sheetData>
    <row r="1" spans="1:48" x14ac:dyDescent="0.3">
      <c r="C1" s="25"/>
      <c r="P1" s="27"/>
      <c r="Q1" s="27"/>
      <c r="R1" s="27"/>
      <c r="S1" s="27"/>
      <c r="U1" s="27"/>
      <c r="V1" s="27"/>
      <c r="W1" s="27"/>
    </row>
    <row r="2" spans="1:48" x14ac:dyDescent="0.3">
      <c r="P2" s="27"/>
      <c r="Q2" s="27"/>
      <c r="R2" s="27"/>
      <c r="S2" s="27"/>
      <c r="U2" s="27"/>
      <c r="V2" s="27"/>
      <c r="W2" s="27"/>
    </row>
    <row r="3" spans="1:48" x14ac:dyDescent="0.3">
      <c r="P3" s="27"/>
      <c r="Q3" s="27"/>
      <c r="R3" s="27"/>
      <c r="S3" s="27"/>
      <c r="U3" s="27"/>
      <c r="V3" s="27"/>
      <c r="W3" s="27"/>
    </row>
    <row r="4" spans="1:48" ht="5.25" customHeight="1" x14ac:dyDescent="0.3">
      <c r="P4" s="27"/>
      <c r="Q4" s="27"/>
      <c r="R4" s="27"/>
      <c r="S4" s="27"/>
      <c r="U4" s="27"/>
      <c r="V4" s="27"/>
      <c r="W4" s="27"/>
    </row>
    <row r="5" spans="1:48" ht="14.4" thickBot="1" x14ac:dyDescent="0.35">
      <c r="B5" s="207" t="s">
        <v>103</v>
      </c>
      <c r="C5" s="207"/>
      <c r="D5" s="207"/>
      <c r="E5" s="207"/>
      <c r="F5" s="207"/>
      <c r="G5" s="207"/>
      <c r="H5" s="207"/>
      <c r="I5" s="207"/>
      <c r="J5" s="207"/>
      <c r="K5" s="207"/>
      <c r="L5" s="207"/>
      <c r="M5" s="207"/>
      <c r="N5" s="204" t="s">
        <v>106</v>
      </c>
      <c r="O5" s="204"/>
      <c r="P5" s="207" t="s">
        <v>104</v>
      </c>
      <c r="Q5" s="207"/>
      <c r="R5" s="207"/>
      <c r="S5" s="207"/>
      <c r="T5" s="207"/>
      <c r="U5" s="207"/>
      <c r="V5" s="207"/>
      <c r="W5" s="207"/>
      <c r="X5" s="207"/>
      <c r="Y5" s="207"/>
      <c r="Z5" s="207"/>
      <c r="AA5" s="207"/>
      <c r="AB5" s="207"/>
      <c r="AC5" s="207"/>
      <c r="AD5" s="207"/>
      <c r="AE5" s="207"/>
    </row>
    <row r="6" spans="1:48" ht="25.05" customHeight="1" thickTop="1" thickBot="1" x14ac:dyDescent="0.35">
      <c r="B6" s="207"/>
      <c r="C6" s="207"/>
      <c r="D6" s="207"/>
      <c r="E6" s="207"/>
      <c r="F6" s="207"/>
      <c r="G6" s="207"/>
      <c r="H6" s="207"/>
      <c r="I6" s="207"/>
      <c r="J6" s="207"/>
      <c r="K6" s="207"/>
      <c r="L6" s="207"/>
      <c r="M6" s="207"/>
      <c r="N6" s="204"/>
      <c r="O6" s="204"/>
      <c r="P6" s="204" t="s">
        <v>107</v>
      </c>
      <c r="Q6" s="204"/>
      <c r="R6" s="204"/>
      <c r="S6" s="204"/>
      <c r="T6" s="203" t="s">
        <v>108</v>
      </c>
      <c r="U6" s="204" t="s">
        <v>109</v>
      </c>
      <c r="V6" s="204"/>
      <c r="W6" s="204"/>
      <c r="X6" s="203" t="s">
        <v>110</v>
      </c>
      <c r="Y6" s="204" t="s">
        <v>111</v>
      </c>
      <c r="Z6" s="204"/>
      <c r="AA6" s="203" t="s">
        <v>151</v>
      </c>
      <c r="AB6" s="203" t="s">
        <v>112</v>
      </c>
      <c r="AC6" s="203" t="s">
        <v>153</v>
      </c>
      <c r="AD6" s="203"/>
      <c r="AE6" s="203"/>
      <c r="AG6" s="211" t="s">
        <v>105</v>
      </c>
      <c r="AH6" s="212"/>
      <c r="AN6" s="210" t="s">
        <v>105</v>
      </c>
      <c r="AO6" s="210"/>
      <c r="AP6" s="210" t="s">
        <v>165</v>
      </c>
    </row>
    <row r="7" spans="1:48" ht="25.05" customHeight="1" thickTop="1" thickBot="1" x14ac:dyDescent="0.35">
      <c r="A7" s="25"/>
      <c r="B7" s="206" t="s">
        <v>157</v>
      </c>
      <c r="C7" s="206" t="s">
        <v>390</v>
      </c>
      <c r="D7" s="206" t="s">
        <v>158</v>
      </c>
      <c r="E7" s="205" t="s">
        <v>113</v>
      </c>
      <c r="F7" s="205" t="s">
        <v>114</v>
      </c>
      <c r="G7" s="205" t="s">
        <v>217</v>
      </c>
      <c r="H7" s="205" t="s">
        <v>115</v>
      </c>
      <c r="I7" s="205" t="s">
        <v>116</v>
      </c>
      <c r="J7" s="205" t="s">
        <v>117</v>
      </c>
      <c r="K7" s="205" t="s">
        <v>118</v>
      </c>
      <c r="L7" s="205" t="s">
        <v>119</v>
      </c>
      <c r="M7" s="205" t="s">
        <v>150</v>
      </c>
      <c r="N7" s="205" t="s">
        <v>120</v>
      </c>
      <c r="O7" s="205" t="s">
        <v>152</v>
      </c>
      <c r="P7" s="102" t="s">
        <v>121</v>
      </c>
      <c r="Q7" s="102" t="s">
        <v>122</v>
      </c>
      <c r="R7" s="102" t="s">
        <v>123</v>
      </c>
      <c r="S7" s="102" t="s">
        <v>124</v>
      </c>
      <c r="T7" s="203"/>
      <c r="U7" s="102" t="s">
        <v>125</v>
      </c>
      <c r="V7" s="102" t="s">
        <v>126</v>
      </c>
      <c r="W7" s="102" t="s">
        <v>127</v>
      </c>
      <c r="X7" s="203"/>
      <c r="Y7" s="102" t="s">
        <v>128</v>
      </c>
      <c r="Z7" s="102" t="s">
        <v>129</v>
      </c>
      <c r="AA7" s="203"/>
      <c r="AB7" s="203"/>
      <c r="AC7" s="203" t="s">
        <v>154</v>
      </c>
      <c r="AD7" s="203" t="s">
        <v>155</v>
      </c>
      <c r="AE7" s="203" t="s">
        <v>220</v>
      </c>
      <c r="AG7" s="25"/>
      <c r="AH7" s="25"/>
      <c r="AN7" s="210" t="s">
        <v>166</v>
      </c>
      <c r="AO7" s="210" t="s">
        <v>130</v>
      </c>
      <c r="AP7" s="210"/>
    </row>
    <row r="8" spans="1:48" ht="25.05" customHeight="1" thickTop="1" thickBot="1" x14ac:dyDescent="0.35">
      <c r="B8" s="206"/>
      <c r="C8" s="206"/>
      <c r="D8" s="209"/>
      <c r="E8" s="205"/>
      <c r="F8" s="205"/>
      <c r="G8" s="205"/>
      <c r="H8" s="205"/>
      <c r="I8" s="205"/>
      <c r="J8" s="205"/>
      <c r="K8" s="205"/>
      <c r="L8" s="205"/>
      <c r="M8" s="205"/>
      <c r="N8" s="208"/>
      <c r="O8" s="205"/>
      <c r="P8" s="103">
        <v>0</v>
      </c>
      <c r="Q8" s="103">
        <v>3</v>
      </c>
      <c r="R8" s="103">
        <v>7</v>
      </c>
      <c r="S8" s="103">
        <v>10</v>
      </c>
      <c r="T8" s="203"/>
      <c r="U8" s="104">
        <v>0</v>
      </c>
      <c r="V8" s="104">
        <v>10</v>
      </c>
      <c r="W8" s="104">
        <v>20</v>
      </c>
      <c r="X8" s="203"/>
      <c r="Y8" s="104">
        <v>60</v>
      </c>
      <c r="Z8" s="104">
        <v>0</v>
      </c>
      <c r="AA8" s="203"/>
      <c r="AB8" s="203"/>
      <c r="AC8" s="203"/>
      <c r="AD8" s="203"/>
      <c r="AE8" s="203"/>
      <c r="AG8" s="213" t="s">
        <v>167</v>
      </c>
      <c r="AH8" s="213" t="s">
        <v>130</v>
      </c>
      <c r="AJ8" s="97" t="s">
        <v>115</v>
      </c>
      <c r="AL8" s="97" t="s">
        <v>116</v>
      </c>
      <c r="AN8" s="210"/>
      <c r="AO8" s="210"/>
      <c r="AP8" s="210"/>
      <c r="AR8" s="97" t="s">
        <v>217</v>
      </c>
      <c r="AT8" s="127" t="s">
        <v>130</v>
      </c>
      <c r="AU8" s="127" t="s">
        <v>405</v>
      </c>
      <c r="AV8" s="127" t="s">
        <v>405</v>
      </c>
    </row>
    <row r="9" spans="1:48" ht="80.099999999999994" customHeight="1" thickTop="1" thickBot="1" x14ac:dyDescent="0.35">
      <c r="B9" s="215">
        <v>1</v>
      </c>
      <c r="C9" s="177" t="str">
        <f>VLOOKUP(B9,codr,6,0)</f>
        <v>Posibilidad de no identificar señales de alerta y/u operaciones inusuales cualitativas y cuantitativas dentro de los movimientos de los Trabajadores Oficiales, Trabajadores de Libre Nombramiento y Remoción, Contratistas, Proveedores, Gestores, Distribuidores y demás Contrapartes.</v>
      </c>
      <c r="D9" s="105" t="s">
        <v>578</v>
      </c>
      <c r="E9" s="196" t="s">
        <v>408</v>
      </c>
      <c r="F9" s="106" t="s">
        <v>416</v>
      </c>
      <c r="G9" s="107" t="s">
        <v>402</v>
      </c>
      <c r="H9" s="107" t="s">
        <v>146</v>
      </c>
      <c r="I9" s="107" t="s">
        <v>139</v>
      </c>
      <c r="J9" s="108" t="s">
        <v>594</v>
      </c>
      <c r="K9" s="108" t="s">
        <v>594</v>
      </c>
      <c r="L9" s="108" t="s">
        <v>594</v>
      </c>
      <c r="M9" s="108" t="s">
        <v>594</v>
      </c>
      <c r="N9" s="109" t="s">
        <v>595</v>
      </c>
      <c r="O9" s="133" t="s">
        <v>216</v>
      </c>
      <c r="P9" s="107"/>
      <c r="Q9" s="110" t="s">
        <v>200</v>
      </c>
      <c r="R9" s="110" t="s">
        <v>200</v>
      </c>
      <c r="S9" s="110" t="s">
        <v>200</v>
      </c>
      <c r="T9" s="111">
        <f>IF(OR(P9="X",AND(Q9="",OR(R9="X",S9="X")),AND(R9="",S9="X")),$P$8,IF(Q9="X",$Q$8+(IF(R9="X",$R$8+(IF(S9="X",$S$8))))))</f>
        <v>20</v>
      </c>
      <c r="U9" s="112"/>
      <c r="V9" s="112"/>
      <c r="W9" s="112" t="s">
        <v>200</v>
      </c>
      <c r="X9" s="113">
        <f>IF(COUNTA(U9:W9)&gt;1,$U$8,IF(U9="X",$U$8)+IF(V9="X",$V$8)+IF(W9="X",$W$8))</f>
        <v>20</v>
      </c>
      <c r="Y9" s="112" t="s">
        <v>200</v>
      </c>
      <c r="Z9" s="112"/>
      <c r="AA9" s="110"/>
      <c r="AB9" s="113">
        <f t="shared" ref="AB9:AB44" si="0">IF(COUNTA(Y9,Z9)&gt;1,$Z$8,IF(Y9="X",$Y$8,IF(Z9="X",$Z$8)))</f>
        <v>60</v>
      </c>
      <c r="AC9" s="115">
        <f t="shared" ref="AC9:AC36" si="1">IF(AB9=FALSE,-1,T9+X9+AB9)</f>
        <v>100</v>
      </c>
      <c r="AD9" s="197">
        <f>ROUND(IF(AND(AC11=-1,AC10=-1),AC9,IF(AC11=-1,AVERAGE(AC9:AC10),IF(AND(AC11&gt;=0,AC10&gt;=0,AC9&gt;=0),AVERAGE(AC9:AC11)))),0)</f>
        <v>91</v>
      </c>
      <c r="AE9" s="198" t="str">
        <f>IF(AND(AD9&lt;20,AD9&gt;=0),"CRITICA",IF(AND(AD9&lt;61,AD9&gt;=20),"BAJA",IF(AND(AD9&lt;91,AD9&gt;=61),"BUENA",IF(AND(AD9&lt;=100,AD9&gt;=91),"EXCELENTE",0))))</f>
        <v>EXCELENTE</v>
      </c>
      <c r="AF9" s="59"/>
      <c r="AG9" s="214"/>
      <c r="AH9" s="214"/>
      <c r="AJ9" s="98" t="s">
        <v>164</v>
      </c>
      <c r="AL9" s="98" t="s">
        <v>139</v>
      </c>
      <c r="AN9" s="99" t="s">
        <v>132</v>
      </c>
      <c r="AO9" s="99" t="s">
        <v>133</v>
      </c>
      <c r="AP9" s="100">
        <v>0.8</v>
      </c>
      <c r="AR9" s="98" t="s">
        <v>402</v>
      </c>
      <c r="AT9" s="96" t="s">
        <v>131</v>
      </c>
      <c r="AU9" s="128">
        <v>1</v>
      </c>
      <c r="AV9" s="128">
        <f>1-AU9</f>
        <v>0</v>
      </c>
    </row>
    <row r="10" spans="1:48" ht="65.55" customHeight="1" thickTop="1" thickBot="1" x14ac:dyDescent="0.35">
      <c r="B10" s="215"/>
      <c r="C10" s="177"/>
      <c r="D10" s="105" t="s">
        <v>596</v>
      </c>
      <c r="E10" s="196"/>
      <c r="F10" s="106" t="s">
        <v>410</v>
      </c>
      <c r="G10" s="107" t="s">
        <v>403</v>
      </c>
      <c r="H10" s="107" t="s">
        <v>145</v>
      </c>
      <c r="I10" s="107" t="s">
        <v>143</v>
      </c>
      <c r="J10" s="108" t="s">
        <v>594</v>
      </c>
      <c r="K10" s="108" t="s">
        <v>594</v>
      </c>
      <c r="L10" s="108" t="s">
        <v>594</v>
      </c>
      <c r="M10" s="132" t="s">
        <v>423</v>
      </c>
      <c r="N10" s="109" t="s">
        <v>415</v>
      </c>
      <c r="O10" s="133" t="s">
        <v>215</v>
      </c>
      <c r="P10" s="107"/>
      <c r="Q10" s="110" t="s">
        <v>200</v>
      </c>
      <c r="R10" s="110"/>
      <c r="S10" s="110"/>
      <c r="T10" s="111">
        <f>IF(OR(P10="X",AND(Q10="",OR(R10="X",S10="X")),AND(R10="",S10="X")),$P$8,IF(Q10="X",$Q$8+(IF(R10="X",$R$8+(IF(S10="X",$S$8))))))</f>
        <v>3</v>
      </c>
      <c r="U10" s="112"/>
      <c r="V10" s="112" t="s">
        <v>200</v>
      </c>
      <c r="W10" s="112"/>
      <c r="X10" s="113">
        <f t="shared" ref="X10:X44" si="2">IF(COUNTA(U10:W10)&gt;1,$U$8,IF(U10="X",$U$8)+IF(V10="X",$V$8)+IF(W10="X",$W$8))</f>
        <v>10</v>
      </c>
      <c r="Y10" s="112" t="s">
        <v>200</v>
      </c>
      <c r="Z10" s="112"/>
      <c r="AA10" s="114"/>
      <c r="AB10" s="113">
        <f t="shared" si="0"/>
        <v>60</v>
      </c>
      <c r="AC10" s="115">
        <f t="shared" si="1"/>
        <v>73</v>
      </c>
      <c r="AD10" s="197"/>
      <c r="AE10" s="198"/>
      <c r="AF10" s="59"/>
      <c r="AG10" s="116" t="s">
        <v>180</v>
      </c>
      <c r="AH10" s="96" t="s">
        <v>131</v>
      </c>
      <c r="AJ10" s="98" t="s">
        <v>140</v>
      </c>
      <c r="AL10" s="98" t="s">
        <v>141</v>
      </c>
      <c r="AN10" s="99" t="s">
        <v>134</v>
      </c>
      <c r="AO10" s="99" t="s">
        <v>135</v>
      </c>
      <c r="AP10" s="101">
        <v>0.5</v>
      </c>
      <c r="AR10" s="98" t="s">
        <v>403</v>
      </c>
      <c r="AT10" s="96" t="s">
        <v>137</v>
      </c>
      <c r="AU10" s="128">
        <v>0.9</v>
      </c>
      <c r="AV10" s="128">
        <f t="shared" ref="AV10:AV12" si="3">1-AU10</f>
        <v>9.9999999999999978E-2</v>
      </c>
    </row>
    <row r="11" spans="1:48" ht="45.6" customHeight="1" thickTop="1" thickBot="1" x14ac:dyDescent="0.35">
      <c r="B11" s="215"/>
      <c r="C11" s="177"/>
      <c r="D11" s="105" t="s">
        <v>626</v>
      </c>
      <c r="E11" s="196"/>
      <c r="F11" s="106" t="s">
        <v>416</v>
      </c>
      <c r="G11" s="107" t="s">
        <v>403</v>
      </c>
      <c r="H11" s="107" t="s">
        <v>145</v>
      </c>
      <c r="I11" s="107" t="s">
        <v>139</v>
      </c>
      <c r="J11" s="108" t="s">
        <v>594</v>
      </c>
      <c r="K11" s="108" t="s">
        <v>594</v>
      </c>
      <c r="L11" s="108" t="s">
        <v>594</v>
      </c>
      <c r="M11" s="108" t="s">
        <v>594</v>
      </c>
      <c r="N11" s="109" t="s">
        <v>415</v>
      </c>
      <c r="O11" s="133" t="s">
        <v>216</v>
      </c>
      <c r="P11" s="107"/>
      <c r="Q11" s="110" t="s">
        <v>200</v>
      </c>
      <c r="R11" s="110" t="s">
        <v>200</v>
      </c>
      <c r="S11" s="110" t="s">
        <v>200</v>
      </c>
      <c r="T11" s="111">
        <f t="shared" ref="T11:T44" si="4">IF(OR(P11="X",AND(Q11="",OR(R11="X",S11="X")),AND(R11="",S11="X")),$P$8,IF(Q11="X",$Q$8+(IF(R11="X",$R$8+(IF(S11="X",$S$8))))))</f>
        <v>20</v>
      </c>
      <c r="U11" s="112"/>
      <c r="V11" s="112"/>
      <c r="W11" s="112" t="s">
        <v>200</v>
      </c>
      <c r="X11" s="113">
        <f t="shared" si="2"/>
        <v>20</v>
      </c>
      <c r="Y11" s="112" t="s">
        <v>200</v>
      </c>
      <c r="Z11" s="112"/>
      <c r="AA11" s="114"/>
      <c r="AB11" s="113">
        <f t="shared" si="0"/>
        <v>60</v>
      </c>
      <c r="AC11" s="115">
        <f t="shared" si="1"/>
        <v>100</v>
      </c>
      <c r="AD11" s="197"/>
      <c r="AE11" s="198"/>
      <c r="AF11" s="59"/>
      <c r="AG11" s="117" t="s">
        <v>212</v>
      </c>
      <c r="AH11" s="96" t="s">
        <v>137</v>
      </c>
      <c r="AJ11" s="98" t="s">
        <v>142</v>
      </c>
      <c r="AL11" s="98" t="s">
        <v>143</v>
      </c>
      <c r="AN11" s="99" t="s">
        <v>136</v>
      </c>
      <c r="AO11" s="99" t="s">
        <v>137</v>
      </c>
      <c r="AP11" s="101">
        <v>0.1</v>
      </c>
      <c r="AR11" s="98" t="s">
        <v>404</v>
      </c>
      <c r="AT11" s="96" t="s">
        <v>135</v>
      </c>
      <c r="AU11" s="128">
        <v>0.5</v>
      </c>
      <c r="AV11" s="128">
        <f t="shared" si="3"/>
        <v>0.5</v>
      </c>
    </row>
    <row r="12" spans="1:48" ht="35.1" customHeight="1" thickTop="1" thickBot="1" x14ac:dyDescent="0.35">
      <c r="B12" s="215">
        <v>2</v>
      </c>
      <c r="C12" s="177" t="str">
        <f>VLOOKUP(B12,codr,6,0)</f>
        <v>Posibilidad de entregar información incompleta o errónea al área encargada de responder un requerimiento sobre LA/FT/FPADM realizado por un ente de control. (sobre todas las contrapartes)</v>
      </c>
      <c r="D12" s="105" t="s">
        <v>627</v>
      </c>
      <c r="E12" s="196" t="s">
        <v>408</v>
      </c>
      <c r="F12" s="106" t="s">
        <v>416</v>
      </c>
      <c r="G12" s="107" t="s">
        <v>403</v>
      </c>
      <c r="H12" s="107" t="s">
        <v>145</v>
      </c>
      <c r="I12" s="107" t="s">
        <v>143</v>
      </c>
      <c r="J12" s="108" t="s">
        <v>594</v>
      </c>
      <c r="K12" s="108" t="s">
        <v>594</v>
      </c>
      <c r="L12" s="108" t="s">
        <v>594</v>
      </c>
      <c r="M12" s="108" t="s">
        <v>594</v>
      </c>
      <c r="N12" s="109" t="s">
        <v>415</v>
      </c>
      <c r="O12" s="133" t="s">
        <v>216</v>
      </c>
      <c r="P12" s="107"/>
      <c r="Q12" s="110" t="s">
        <v>200</v>
      </c>
      <c r="R12" s="110" t="s">
        <v>200</v>
      </c>
      <c r="S12" s="110" t="s">
        <v>200</v>
      </c>
      <c r="T12" s="111">
        <f t="shared" si="4"/>
        <v>20</v>
      </c>
      <c r="U12" s="112"/>
      <c r="V12" s="112"/>
      <c r="W12" s="112" t="s">
        <v>200</v>
      </c>
      <c r="X12" s="113">
        <f t="shared" si="2"/>
        <v>20</v>
      </c>
      <c r="Y12" s="112" t="s">
        <v>200</v>
      </c>
      <c r="Z12" s="112"/>
      <c r="AA12" s="114"/>
      <c r="AB12" s="113">
        <f t="shared" si="0"/>
        <v>60</v>
      </c>
      <c r="AC12" s="115">
        <f t="shared" si="1"/>
        <v>100</v>
      </c>
      <c r="AD12" s="197">
        <f t="shared" ref="AD12" si="5">ROUND(IF(AND(AC14=-1,AC13=-1),AC12,IF(AC14=-1,AVERAGE(AC12:AC13),IF(AND(AC14&gt;=0,AC13&gt;=0,AC12&gt;=0),AVERAGE(AC12:AC14)))),0)</f>
        <v>100</v>
      </c>
      <c r="AE12" s="198" t="str">
        <f t="shared" ref="AE12" si="6">IF(AND(AD12&lt;20,AD12&gt;=0),"CRITICA",IF(AND(AD12&lt;61,AD12&gt;=20),"BAJA",IF(AND(AD12&lt;91,AD12&gt;=61),"BUENA",IF(AND(AD12&lt;=100,AD12&gt;=91),"EXCELENTE",0))))</f>
        <v>EXCELENTE</v>
      </c>
      <c r="AF12" s="59"/>
      <c r="AG12" s="118" t="s">
        <v>213</v>
      </c>
      <c r="AH12" s="96" t="s">
        <v>135</v>
      </c>
      <c r="AJ12" s="98" t="s">
        <v>144</v>
      </c>
      <c r="AN12" s="99" t="s">
        <v>138</v>
      </c>
      <c r="AO12" s="99" t="s">
        <v>131</v>
      </c>
      <c r="AP12" s="101">
        <v>0</v>
      </c>
      <c r="AT12" s="96" t="s">
        <v>133</v>
      </c>
      <c r="AU12" s="128">
        <v>0.2</v>
      </c>
      <c r="AV12" s="128">
        <f t="shared" si="3"/>
        <v>0.8</v>
      </c>
    </row>
    <row r="13" spans="1:48" ht="53.55" customHeight="1" thickTop="1" thickBot="1" x14ac:dyDescent="0.35">
      <c r="B13" s="215"/>
      <c r="C13" s="177"/>
      <c r="D13" s="105" t="s">
        <v>597</v>
      </c>
      <c r="E13" s="196"/>
      <c r="F13" s="106" t="s">
        <v>410</v>
      </c>
      <c r="G13" s="107" t="s">
        <v>403</v>
      </c>
      <c r="H13" s="107" t="s">
        <v>164</v>
      </c>
      <c r="I13" s="107" t="s">
        <v>141</v>
      </c>
      <c r="J13" s="108" t="s">
        <v>598</v>
      </c>
      <c r="K13" s="108" t="s">
        <v>598</v>
      </c>
      <c r="L13" s="108" t="s">
        <v>598</v>
      </c>
      <c r="M13" s="108" t="s">
        <v>598</v>
      </c>
      <c r="N13" s="109" t="s">
        <v>415</v>
      </c>
      <c r="O13" s="133" t="s">
        <v>216</v>
      </c>
      <c r="P13" s="107"/>
      <c r="Q13" s="110" t="s">
        <v>200</v>
      </c>
      <c r="R13" s="110" t="s">
        <v>200</v>
      </c>
      <c r="S13" s="110" t="s">
        <v>200</v>
      </c>
      <c r="T13" s="111">
        <f t="shared" si="4"/>
        <v>20</v>
      </c>
      <c r="U13" s="112"/>
      <c r="V13" s="112"/>
      <c r="W13" s="112" t="s">
        <v>200</v>
      </c>
      <c r="X13" s="113">
        <f t="shared" si="2"/>
        <v>20</v>
      </c>
      <c r="Y13" s="112" t="s">
        <v>200</v>
      </c>
      <c r="Z13" s="112"/>
      <c r="AA13" s="114"/>
      <c r="AB13" s="113">
        <f t="shared" si="0"/>
        <v>60</v>
      </c>
      <c r="AC13" s="115">
        <f t="shared" si="1"/>
        <v>100</v>
      </c>
      <c r="AD13" s="197"/>
      <c r="AE13" s="198"/>
      <c r="AF13" s="59"/>
      <c r="AG13" s="119" t="s">
        <v>214</v>
      </c>
      <c r="AH13" s="96" t="s">
        <v>133</v>
      </c>
      <c r="AJ13" s="98" t="s">
        <v>163</v>
      </c>
      <c r="AL13" s="97" t="s">
        <v>418</v>
      </c>
    </row>
    <row r="14" spans="1:48" ht="81.599999999999994" customHeight="1" thickTop="1" thickBot="1" x14ac:dyDescent="0.35">
      <c r="B14" s="215"/>
      <c r="C14" s="177"/>
      <c r="D14" s="105" t="s">
        <v>576</v>
      </c>
      <c r="E14" s="196"/>
      <c r="F14" s="106" t="s">
        <v>416</v>
      </c>
      <c r="G14" s="107" t="s">
        <v>402</v>
      </c>
      <c r="H14" s="107" t="s">
        <v>145</v>
      </c>
      <c r="I14" s="107" t="s">
        <v>143</v>
      </c>
      <c r="J14" s="108" t="s">
        <v>599</v>
      </c>
      <c r="K14" s="108" t="s">
        <v>599</v>
      </c>
      <c r="L14" s="108" t="s">
        <v>594</v>
      </c>
      <c r="M14" s="108" t="s">
        <v>594</v>
      </c>
      <c r="N14" s="109" t="s">
        <v>415</v>
      </c>
      <c r="O14" s="133" t="s">
        <v>215</v>
      </c>
      <c r="P14" s="107"/>
      <c r="Q14" s="110" t="s">
        <v>200</v>
      </c>
      <c r="R14" s="110" t="s">
        <v>200</v>
      </c>
      <c r="S14" s="110" t="s">
        <v>200</v>
      </c>
      <c r="T14" s="111">
        <f t="shared" si="4"/>
        <v>20</v>
      </c>
      <c r="U14" s="112"/>
      <c r="V14" s="112"/>
      <c r="W14" s="112" t="s">
        <v>200</v>
      </c>
      <c r="X14" s="113">
        <f t="shared" si="2"/>
        <v>20</v>
      </c>
      <c r="Y14" s="112" t="s">
        <v>200</v>
      </c>
      <c r="Z14" s="112"/>
      <c r="AA14" s="114"/>
      <c r="AB14" s="113">
        <f t="shared" si="0"/>
        <v>60</v>
      </c>
      <c r="AC14" s="115">
        <f t="shared" si="1"/>
        <v>100</v>
      </c>
      <c r="AD14" s="197"/>
      <c r="AE14" s="198"/>
      <c r="AF14" s="59"/>
      <c r="AJ14" s="98" t="s">
        <v>145</v>
      </c>
      <c r="AL14" s="106" t="s">
        <v>409</v>
      </c>
    </row>
    <row r="15" spans="1:48" ht="55.5" customHeight="1" thickTop="1" thickBot="1" x14ac:dyDescent="0.35">
      <c r="B15" s="215">
        <v>3</v>
      </c>
      <c r="C15" s="177" t="str">
        <f>VLOOKUP(B15,codr,6,0)</f>
        <v>Posibilidad de tener relaciones contractuales, legales, comerciales, alianzas o convenios con contrapartes relacionadas con delitos de LA/FT/FPADM y/o que se encuentren en listas vinculantes y de control LA/FT/FPADM.</v>
      </c>
      <c r="D15" s="105" t="s">
        <v>600</v>
      </c>
      <c r="E15" s="196" t="s">
        <v>408</v>
      </c>
      <c r="F15" s="106" t="s">
        <v>411</v>
      </c>
      <c r="G15" s="107" t="s">
        <v>402</v>
      </c>
      <c r="H15" s="107" t="s">
        <v>164</v>
      </c>
      <c r="I15" s="107" t="s">
        <v>141</v>
      </c>
      <c r="J15" s="108" t="s">
        <v>423</v>
      </c>
      <c r="K15" s="108" t="s">
        <v>423</v>
      </c>
      <c r="L15" s="108" t="s">
        <v>423</v>
      </c>
      <c r="M15" s="132" t="s">
        <v>423</v>
      </c>
      <c r="N15" s="109" t="s">
        <v>602</v>
      </c>
      <c r="O15" s="133" t="s">
        <v>216</v>
      </c>
      <c r="P15" s="107"/>
      <c r="Q15" s="110" t="s">
        <v>200</v>
      </c>
      <c r="R15" s="110" t="s">
        <v>200</v>
      </c>
      <c r="S15" s="110" t="s">
        <v>200</v>
      </c>
      <c r="T15" s="111">
        <f t="shared" si="4"/>
        <v>20</v>
      </c>
      <c r="U15" s="112"/>
      <c r="V15" s="112"/>
      <c r="W15" s="112" t="s">
        <v>200</v>
      </c>
      <c r="X15" s="113">
        <f t="shared" si="2"/>
        <v>20</v>
      </c>
      <c r="Y15" s="112" t="s">
        <v>200</v>
      </c>
      <c r="Z15" s="112"/>
      <c r="AA15" s="114"/>
      <c r="AB15" s="113">
        <f t="shared" si="0"/>
        <v>60</v>
      </c>
      <c r="AC15" s="115">
        <f t="shared" si="1"/>
        <v>100</v>
      </c>
      <c r="AD15" s="197">
        <f t="shared" ref="AD15" si="7">ROUND(IF(AND(AC17=-1,AC16=-1),AC15,IF(AC17=-1,AVERAGE(AC15:AC16),IF(AND(AC17&gt;=0,AC16&gt;=0,AC15&gt;=0),AVERAGE(AC15:AC17)))),0)</f>
        <v>97</v>
      </c>
      <c r="AE15" s="198" t="str">
        <f t="shared" ref="AE15" si="8">IF(AND(AD15&lt;20,AD15&gt;=0),"CRITICA",IF(AND(AD15&lt;61,AD15&gt;=20),"BAJA",IF(AND(AD15&lt;91,AD15&gt;=61),"BUENA",IF(AND(AD15&lt;=100,AD15&gt;=91),"EXCELENTE",0))))</f>
        <v>EXCELENTE</v>
      </c>
      <c r="AF15" s="59"/>
      <c r="AJ15" s="98" t="s">
        <v>146</v>
      </c>
      <c r="AL15" s="106" t="s">
        <v>410</v>
      </c>
    </row>
    <row r="16" spans="1:48" ht="38.1" customHeight="1" thickTop="1" thickBot="1" x14ac:dyDescent="0.35">
      <c r="B16" s="215"/>
      <c r="C16" s="177"/>
      <c r="D16" s="105" t="s">
        <v>628</v>
      </c>
      <c r="E16" s="196"/>
      <c r="F16" s="106" t="s">
        <v>416</v>
      </c>
      <c r="G16" s="107" t="s">
        <v>403</v>
      </c>
      <c r="H16" s="107" t="s">
        <v>145</v>
      </c>
      <c r="I16" s="107" t="s">
        <v>141</v>
      </c>
      <c r="J16" s="108" t="s">
        <v>594</v>
      </c>
      <c r="K16" s="108" t="s">
        <v>594</v>
      </c>
      <c r="L16" s="108" t="s">
        <v>594</v>
      </c>
      <c r="M16" s="108" t="s">
        <v>594</v>
      </c>
      <c r="N16" s="109" t="s">
        <v>413</v>
      </c>
      <c r="O16" s="133" t="s">
        <v>216</v>
      </c>
      <c r="P16" s="107"/>
      <c r="Q16" s="110" t="s">
        <v>200</v>
      </c>
      <c r="R16" s="110" t="s">
        <v>200</v>
      </c>
      <c r="S16" s="110"/>
      <c r="T16" s="111">
        <f t="shared" si="4"/>
        <v>10</v>
      </c>
      <c r="U16" s="112"/>
      <c r="V16" s="112"/>
      <c r="W16" s="112" t="s">
        <v>200</v>
      </c>
      <c r="X16" s="113">
        <f t="shared" si="2"/>
        <v>20</v>
      </c>
      <c r="Y16" s="112" t="s">
        <v>200</v>
      </c>
      <c r="Z16" s="112"/>
      <c r="AA16" s="114"/>
      <c r="AB16" s="113">
        <f t="shared" si="0"/>
        <v>60</v>
      </c>
      <c r="AC16" s="115">
        <f t="shared" si="1"/>
        <v>90</v>
      </c>
      <c r="AD16" s="197"/>
      <c r="AE16" s="198"/>
      <c r="AF16" s="59"/>
      <c r="AJ16" s="98" t="s">
        <v>147</v>
      </c>
      <c r="AL16" s="106" t="s">
        <v>414</v>
      </c>
    </row>
    <row r="17" spans="2:38" ht="77.099999999999994" customHeight="1" thickTop="1" x14ac:dyDescent="0.3">
      <c r="B17" s="215"/>
      <c r="C17" s="177"/>
      <c r="D17" s="105" t="s">
        <v>576</v>
      </c>
      <c r="E17" s="196"/>
      <c r="F17" s="106" t="s">
        <v>416</v>
      </c>
      <c r="G17" s="107" t="s">
        <v>402</v>
      </c>
      <c r="H17" s="107" t="s">
        <v>145</v>
      </c>
      <c r="I17" s="107" t="s">
        <v>143</v>
      </c>
      <c r="J17" s="108" t="s">
        <v>599</v>
      </c>
      <c r="K17" s="108" t="s">
        <v>599</v>
      </c>
      <c r="L17" s="108" t="s">
        <v>594</v>
      </c>
      <c r="M17" s="108" t="s">
        <v>594</v>
      </c>
      <c r="N17" s="109" t="s">
        <v>415</v>
      </c>
      <c r="O17" s="133" t="s">
        <v>216</v>
      </c>
      <c r="P17" s="107"/>
      <c r="Q17" s="110" t="s">
        <v>200</v>
      </c>
      <c r="R17" s="110" t="s">
        <v>200</v>
      </c>
      <c r="S17" s="110" t="s">
        <v>200</v>
      </c>
      <c r="T17" s="111">
        <f t="shared" si="4"/>
        <v>20</v>
      </c>
      <c r="U17" s="112"/>
      <c r="V17" s="112"/>
      <c r="W17" s="112" t="s">
        <v>200</v>
      </c>
      <c r="X17" s="113">
        <f t="shared" si="2"/>
        <v>20</v>
      </c>
      <c r="Y17" s="112" t="s">
        <v>200</v>
      </c>
      <c r="Z17" s="112"/>
      <c r="AA17" s="114"/>
      <c r="AB17" s="113">
        <f t="shared" si="0"/>
        <v>60</v>
      </c>
      <c r="AC17" s="115">
        <f t="shared" si="1"/>
        <v>100</v>
      </c>
      <c r="AD17" s="197"/>
      <c r="AE17" s="198"/>
      <c r="AF17" s="59"/>
      <c r="AL17" s="106" t="s">
        <v>411</v>
      </c>
    </row>
    <row r="18" spans="2:38" ht="38.1" customHeight="1" x14ac:dyDescent="0.3">
      <c r="B18" s="215">
        <v>4</v>
      </c>
      <c r="C18" s="177" t="str">
        <f>VLOOKUP(B18,codr,6,0)</f>
        <v>Posibilidad de utilización de un canal comercial o transaccional de la Lotería  para realizar operaciones relacionadas con LA/FT/FPADM.</v>
      </c>
      <c r="D18" s="105" t="s">
        <v>604</v>
      </c>
      <c r="E18" s="196" t="s">
        <v>408</v>
      </c>
      <c r="F18" s="106" t="s">
        <v>410</v>
      </c>
      <c r="G18" s="107" t="s">
        <v>403</v>
      </c>
      <c r="H18" s="107" t="s">
        <v>144</v>
      </c>
      <c r="I18" s="107" t="s">
        <v>143</v>
      </c>
      <c r="J18" s="108" t="s">
        <v>606</v>
      </c>
      <c r="K18" s="108" t="s">
        <v>606</v>
      </c>
      <c r="L18" s="108" t="s">
        <v>606</v>
      </c>
      <c r="M18" s="108" t="s">
        <v>606</v>
      </c>
      <c r="N18" s="109" t="s">
        <v>415</v>
      </c>
      <c r="O18" s="133" t="s">
        <v>216</v>
      </c>
      <c r="P18" s="107"/>
      <c r="Q18" s="110" t="s">
        <v>200</v>
      </c>
      <c r="R18" s="110" t="s">
        <v>200</v>
      </c>
      <c r="S18" s="110" t="s">
        <v>200</v>
      </c>
      <c r="T18" s="111">
        <f t="shared" si="4"/>
        <v>20</v>
      </c>
      <c r="U18" s="112"/>
      <c r="V18" s="112"/>
      <c r="W18" s="112" t="s">
        <v>200</v>
      </c>
      <c r="X18" s="113">
        <f t="shared" si="2"/>
        <v>20</v>
      </c>
      <c r="Y18" s="112" t="s">
        <v>200</v>
      </c>
      <c r="Z18" s="112"/>
      <c r="AA18" s="114"/>
      <c r="AB18" s="113">
        <f t="shared" si="0"/>
        <v>60</v>
      </c>
      <c r="AC18" s="115">
        <f t="shared" si="1"/>
        <v>100</v>
      </c>
      <c r="AD18" s="197">
        <f t="shared" ref="AD18" si="9">ROUND(IF(AND(AC20=-1,AC19=-1),AC18,IF(AC20=-1,AVERAGE(AC18:AC19),IF(AND(AC20&gt;=0,AC19&gt;=0,AC18&gt;=0),AVERAGE(AC18:AC20)))),0)</f>
        <v>97</v>
      </c>
      <c r="AE18" s="198" t="str">
        <f t="shared" ref="AE18" si="10">IF(AND(AD18&lt;20,AD18&gt;=0),"CRITICA",IF(AND(AD18&lt;61,AD18&gt;=20),"BAJA",IF(AND(AD18&lt;91,AD18&gt;=61),"BUENA",IF(AND(AD18&lt;=100,AD18&gt;=91),"EXCELENTE",0))))</f>
        <v>EXCELENTE</v>
      </c>
      <c r="AF18" s="59"/>
      <c r="AL18" s="106" t="s">
        <v>416</v>
      </c>
    </row>
    <row r="19" spans="2:38" ht="38.1" customHeight="1" x14ac:dyDescent="0.3">
      <c r="B19" s="215"/>
      <c r="C19" s="177"/>
      <c r="D19" s="105" t="s">
        <v>605</v>
      </c>
      <c r="E19" s="196"/>
      <c r="F19" s="106" t="s">
        <v>410</v>
      </c>
      <c r="G19" s="107" t="s">
        <v>403</v>
      </c>
      <c r="H19" s="107" t="s">
        <v>144</v>
      </c>
      <c r="I19" s="107" t="s">
        <v>143</v>
      </c>
      <c r="J19" s="108" t="s">
        <v>607</v>
      </c>
      <c r="K19" s="108" t="s">
        <v>607</v>
      </c>
      <c r="L19" s="108" t="s">
        <v>607</v>
      </c>
      <c r="M19" s="108" t="s">
        <v>607</v>
      </c>
      <c r="N19" s="109" t="s">
        <v>415</v>
      </c>
      <c r="O19" s="133" t="s">
        <v>216</v>
      </c>
      <c r="P19" s="107"/>
      <c r="Q19" s="110" t="s">
        <v>200</v>
      </c>
      <c r="R19" s="110" t="s">
        <v>200</v>
      </c>
      <c r="S19" s="110"/>
      <c r="T19" s="111">
        <f t="shared" si="4"/>
        <v>10</v>
      </c>
      <c r="U19" s="112"/>
      <c r="V19" s="112"/>
      <c r="W19" s="112" t="s">
        <v>200</v>
      </c>
      <c r="X19" s="113">
        <f t="shared" si="2"/>
        <v>20</v>
      </c>
      <c r="Y19" s="112" t="s">
        <v>200</v>
      </c>
      <c r="Z19" s="112"/>
      <c r="AA19" s="114"/>
      <c r="AB19" s="113">
        <f t="shared" si="0"/>
        <v>60</v>
      </c>
      <c r="AC19" s="115">
        <f t="shared" si="1"/>
        <v>90</v>
      </c>
      <c r="AD19" s="197"/>
      <c r="AE19" s="198"/>
      <c r="AF19" s="59"/>
    </row>
    <row r="20" spans="2:38" ht="56.55" customHeight="1" x14ac:dyDescent="0.3">
      <c r="B20" s="215"/>
      <c r="C20" s="177"/>
      <c r="D20" s="105" t="s">
        <v>600</v>
      </c>
      <c r="E20" s="196"/>
      <c r="F20" s="106" t="s">
        <v>411</v>
      </c>
      <c r="G20" s="107" t="s">
        <v>402</v>
      </c>
      <c r="H20" s="107" t="s">
        <v>164</v>
      </c>
      <c r="I20" s="107" t="s">
        <v>141</v>
      </c>
      <c r="J20" s="108" t="s">
        <v>423</v>
      </c>
      <c r="K20" s="108" t="s">
        <v>423</v>
      </c>
      <c r="L20" s="108" t="s">
        <v>423</v>
      </c>
      <c r="M20" s="132" t="s">
        <v>423</v>
      </c>
      <c r="N20" s="109" t="s">
        <v>602</v>
      </c>
      <c r="O20" s="133" t="s">
        <v>216</v>
      </c>
      <c r="P20" s="107"/>
      <c r="Q20" s="110" t="s">
        <v>200</v>
      </c>
      <c r="R20" s="110" t="s">
        <v>200</v>
      </c>
      <c r="S20" s="110" t="s">
        <v>200</v>
      </c>
      <c r="T20" s="111">
        <f t="shared" si="4"/>
        <v>20</v>
      </c>
      <c r="U20" s="112"/>
      <c r="V20" s="112"/>
      <c r="W20" s="112" t="s">
        <v>200</v>
      </c>
      <c r="X20" s="113">
        <f t="shared" si="2"/>
        <v>20</v>
      </c>
      <c r="Y20" s="112" t="s">
        <v>200</v>
      </c>
      <c r="Z20" s="112"/>
      <c r="AA20" s="114"/>
      <c r="AB20" s="113">
        <f t="shared" si="0"/>
        <v>60</v>
      </c>
      <c r="AC20" s="115">
        <f t="shared" si="1"/>
        <v>100</v>
      </c>
      <c r="AD20" s="197"/>
      <c r="AE20" s="198"/>
      <c r="AF20" s="59"/>
    </row>
    <row r="21" spans="2:38" ht="38.1" customHeight="1" x14ac:dyDescent="0.3">
      <c r="B21" s="215">
        <v>5</v>
      </c>
      <c r="C21" s="177" t="str">
        <f>VLOOKUP(B21,codr,6,0)</f>
        <v>Posibilidad de recuperar valores en la gestión de cobro sin el conocimiento del origen de los fondos.</v>
      </c>
      <c r="D21" s="105" t="s">
        <v>629</v>
      </c>
      <c r="E21" s="196" t="s">
        <v>408</v>
      </c>
      <c r="F21" s="106" t="s">
        <v>416</v>
      </c>
      <c r="G21" s="107" t="s">
        <v>402</v>
      </c>
      <c r="H21" s="107" t="s">
        <v>145</v>
      </c>
      <c r="I21" s="107" t="s">
        <v>139</v>
      </c>
      <c r="J21" s="108" t="s">
        <v>594</v>
      </c>
      <c r="K21" s="108" t="s">
        <v>594</v>
      </c>
      <c r="L21" s="108" t="s">
        <v>594</v>
      </c>
      <c r="M21" s="108" t="s">
        <v>594</v>
      </c>
      <c r="N21" s="109" t="s">
        <v>415</v>
      </c>
      <c r="O21" s="133" t="s">
        <v>216</v>
      </c>
      <c r="P21" s="107"/>
      <c r="Q21" s="110" t="s">
        <v>200</v>
      </c>
      <c r="R21" s="110" t="s">
        <v>200</v>
      </c>
      <c r="S21" s="110" t="s">
        <v>200</v>
      </c>
      <c r="T21" s="111">
        <f t="shared" si="4"/>
        <v>20</v>
      </c>
      <c r="U21" s="112"/>
      <c r="V21" s="112"/>
      <c r="W21" s="112" t="s">
        <v>200</v>
      </c>
      <c r="X21" s="113">
        <f t="shared" si="2"/>
        <v>20</v>
      </c>
      <c r="Y21" s="112" t="s">
        <v>200</v>
      </c>
      <c r="Z21" s="112"/>
      <c r="AA21" s="114"/>
      <c r="AB21" s="113">
        <f t="shared" si="0"/>
        <v>60</v>
      </c>
      <c r="AC21" s="115">
        <f t="shared" si="1"/>
        <v>100</v>
      </c>
      <c r="AD21" s="197">
        <f t="shared" ref="AD21" si="11">ROUND(IF(AND(AC23=-1,AC22=-1),AC21,IF(AC23=-1,AVERAGE(AC21:AC22),IF(AND(AC23&gt;=0,AC22&gt;=0,AC21&gt;=0),AVERAGE(AC21:AC23)))),0)</f>
        <v>97</v>
      </c>
      <c r="AE21" s="198" t="str">
        <f t="shared" ref="AE21" si="12">IF(AND(AD21&lt;20,AD21&gt;=0),"CRITICA",IF(AND(AD21&lt;61,AD21&gt;=20),"BAJA",IF(AND(AD21&lt;91,AD21&gt;=61),"BUENA",IF(AND(AD21&lt;=100,AD21&gt;=91),"EXCELENTE",0))))</f>
        <v>EXCELENTE</v>
      </c>
      <c r="AF21" s="59"/>
    </row>
    <row r="22" spans="2:38" ht="50.55" customHeight="1" x14ac:dyDescent="0.3">
      <c r="B22" s="215"/>
      <c r="C22" s="177"/>
      <c r="D22" s="105" t="s">
        <v>609</v>
      </c>
      <c r="E22" s="196"/>
      <c r="F22" s="106" t="s">
        <v>414</v>
      </c>
      <c r="G22" s="107" t="s">
        <v>402</v>
      </c>
      <c r="H22" s="107" t="s">
        <v>412</v>
      </c>
      <c r="I22" s="107" t="s">
        <v>139</v>
      </c>
      <c r="J22" s="108" t="s">
        <v>603</v>
      </c>
      <c r="K22" s="108" t="s">
        <v>603</v>
      </c>
      <c r="L22" s="108" t="s">
        <v>603</v>
      </c>
      <c r="M22" s="108" t="s">
        <v>603</v>
      </c>
      <c r="N22" s="109" t="s">
        <v>608</v>
      </c>
      <c r="O22" s="133" t="s">
        <v>216</v>
      </c>
      <c r="P22" s="107"/>
      <c r="Q22" s="110" t="s">
        <v>200</v>
      </c>
      <c r="R22" s="110" t="s">
        <v>200</v>
      </c>
      <c r="S22" s="110"/>
      <c r="T22" s="111">
        <f t="shared" si="4"/>
        <v>10</v>
      </c>
      <c r="U22" s="112"/>
      <c r="V22" s="112"/>
      <c r="W22" s="112" t="s">
        <v>200</v>
      </c>
      <c r="X22" s="113">
        <f t="shared" si="2"/>
        <v>20</v>
      </c>
      <c r="Y22" s="112" t="s">
        <v>200</v>
      </c>
      <c r="Z22" s="112"/>
      <c r="AA22" s="114"/>
      <c r="AB22" s="113">
        <f t="shared" si="0"/>
        <v>60</v>
      </c>
      <c r="AC22" s="115">
        <f t="shared" si="1"/>
        <v>90</v>
      </c>
      <c r="AD22" s="197"/>
      <c r="AE22" s="198"/>
      <c r="AF22" s="59"/>
    </row>
    <row r="23" spans="2:38" ht="64.5" customHeight="1" x14ac:dyDescent="0.3">
      <c r="B23" s="215"/>
      <c r="C23" s="177"/>
      <c r="D23" s="105" t="s">
        <v>576</v>
      </c>
      <c r="E23" s="196"/>
      <c r="F23" s="106" t="s">
        <v>416</v>
      </c>
      <c r="G23" s="107" t="s">
        <v>402</v>
      </c>
      <c r="H23" s="107" t="s">
        <v>145</v>
      </c>
      <c r="I23" s="107" t="s">
        <v>143</v>
      </c>
      <c r="J23" s="108" t="s">
        <v>599</v>
      </c>
      <c r="K23" s="108" t="s">
        <v>599</v>
      </c>
      <c r="L23" s="108" t="s">
        <v>594</v>
      </c>
      <c r="M23" s="108" t="s">
        <v>594</v>
      </c>
      <c r="N23" s="109" t="s">
        <v>415</v>
      </c>
      <c r="O23" s="133" t="s">
        <v>216</v>
      </c>
      <c r="P23" s="107"/>
      <c r="Q23" s="110" t="s">
        <v>200</v>
      </c>
      <c r="R23" s="110" t="s">
        <v>200</v>
      </c>
      <c r="S23" s="110" t="s">
        <v>200</v>
      </c>
      <c r="T23" s="111">
        <f t="shared" si="4"/>
        <v>20</v>
      </c>
      <c r="U23" s="112"/>
      <c r="V23" s="112"/>
      <c r="W23" s="112" t="s">
        <v>200</v>
      </c>
      <c r="X23" s="113">
        <f t="shared" si="2"/>
        <v>20</v>
      </c>
      <c r="Y23" s="112" t="s">
        <v>200</v>
      </c>
      <c r="Z23" s="112"/>
      <c r="AA23" s="114"/>
      <c r="AB23" s="113">
        <f t="shared" si="0"/>
        <v>60</v>
      </c>
      <c r="AC23" s="115">
        <f t="shared" si="1"/>
        <v>100</v>
      </c>
      <c r="AD23" s="197"/>
      <c r="AE23" s="198"/>
      <c r="AF23" s="59"/>
    </row>
    <row r="24" spans="2:38" ht="73.5" customHeight="1" x14ac:dyDescent="0.3">
      <c r="B24" s="215">
        <v>6</v>
      </c>
      <c r="C24" s="177" t="str">
        <f>VLOOKUP(B24,codr,6,0)</f>
        <v>Posibilidad de ofrecimientos de dinero o dádivas a colaboradores de la Lotería para entregar, manipular, extraer, cambiar o transferir información de entidad o de sus clientes a terceros no vinculados a la Entidad con el proposito de realizar operaciones y/o actividades relacionadas con el riesgo LA/FT/FPADM.</v>
      </c>
      <c r="D24" s="105" t="s">
        <v>596</v>
      </c>
      <c r="E24" s="196" t="s">
        <v>408</v>
      </c>
      <c r="F24" s="106" t="s">
        <v>410</v>
      </c>
      <c r="G24" s="107" t="s">
        <v>403</v>
      </c>
      <c r="H24" s="107" t="s">
        <v>145</v>
      </c>
      <c r="I24" s="107" t="s">
        <v>143</v>
      </c>
      <c r="J24" s="108" t="s">
        <v>594</v>
      </c>
      <c r="K24" s="108" t="s">
        <v>594</v>
      </c>
      <c r="L24" s="108" t="s">
        <v>594</v>
      </c>
      <c r="M24" s="132" t="s">
        <v>423</v>
      </c>
      <c r="N24" s="109" t="s">
        <v>415</v>
      </c>
      <c r="O24" s="133" t="s">
        <v>215</v>
      </c>
      <c r="P24" s="107"/>
      <c r="Q24" s="110" t="s">
        <v>200</v>
      </c>
      <c r="R24" s="110"/>
      <c r="S24" s="110"/>
      <c r="T24" s="111">
        <f t="shared" si="4"/>
        <v>3</v>
      </c>
      <c r="U24" s="112"/>
      <c r="V24" s="112"/>
      <c r="W24" s="112" t="s">
        <v>200</v>
      </c>
      <c r="X24" s="113">
        <f t="shared" si="2"/>
        <v>20</v>
      </c>
      <c r="Y24" s="112" t="s">
        <v>200</v>
      </c>
      <c r="Z24" s="112"/>
      <c r="AA24" s="114"/>
      <c r="AB24" s="113">
        <f t="shared" si="0"/>
        <v>60</v>
      </c>
      <c r="AC24" s="115">
        <f t="shared" si="1"/>
        <v>83</v>
      </c>
      <c r="AD24" s="197">
        <f t="shared" ref="AD24" si="13">ROUND(IF(AND(AC26=-1,AC25=-1),AC24,IF(AC26=-1,AVERAGE(AC24:AC25),IF(AND(AC26&gt;=0,AC25&gt;=0,AC24&gt;=0),AVERAGE(AC24:AC26)))),0)</f>
        <v>61</v>
      </c>
      <c r="AE24" s="198" t="str">
        <f t="shared" ref="AE24" si="14">IF(AND(AD24&lt;20,AD24&gt;=0),"CRITICA",IF(AND(AD24&lt;61,AD24&gt;=20),"BAJA",IF(AND(AD24&lt;91,AD24&gt;=61),"BUENA",IF(AND(AD24&lt;=100,AD24&gt;=91),"EXCELENTE",0))))</f>
        <v>BUENA</v>
      </c>
      <c r="AF24" s="59"/>
    </row>
    <row r="25" spans="2:38" ht="38.1" customHeight="1" x14ac:dyDescent="0.3">
      <c r="B25" s="215"/>
      <c r="C25" s="177"/>
      <c r="D25" s="105" t="s">
        <v>577</v>
      </c>
      <c r="E25" s="196"/>
      <c r="F25" s="106" t="s">
        <v>411</v>
      </c>
      <c r="G25" s="107" t="s">
        <v>402</v>
      </c>
      <c r="H25" s="107" t="s">
        <v>146</v>
      </c>
      <c r="I25" s="107" t="s">
        <v>139</v>
      </c>
      <c r="J25" s="108" t="s">
        <v>423</v>
      </c>
      <c r="K25" s="108" t="s">
        <v>423</v>
      </c>
      <c r="L25" s="108" t="s">
        <v>594</v>
      </c>
      <c r="M25" s="132" t="s">
        <v>423</v>
      </c>
      <c r="N25" s="109" t="s">
        <v>610</v>
      </c>
      <c r="O25" s="133" t="s">
        <v>215</v>
      </c>
      <c r="P25" s="107" t="s">
        <v>200</v>
      </c>
      <c r="Q25" s="110"/>
      <c r="R25" s="110"/>
      <c r="S25" s="110"/>
      <c r="T25" s="111">
        <f t="shared" si="4"/>
        <v>0</v>
      </c>
      <c r="U25" s="112" t="s">
        <v>200</v>
      </c>
      <c r="V25" s="112"/>
      <c r="W25" s="112"/>
      <c r="X25" s="113">
        <f t="shared" si="2"/>
        <v>0</v>
      </c>
      <c r="Y25" s="112"/>
      <c r="Z25" s="112" t="s">
        <v>200</v>
      </c>
      <c r="AA25" s="114"/>
      <c r="AB25" s="113">
        <f t="shared" si="0"/>
        <v>0</v>
      </c>
      <c r="AC25" s="115">
        <f t="shared" si="1"/>
        <v>0</v>
      </c>
      <c r="AD25" s="197"/>
      <c r="AE25" s="198"/>
      <c r="AF25" s="59"/>
    </row>
    <row r="26" spans="2:38" ht="72" customHeight="1" x14ac:dyDescent="0.3">
      <c r="B26" s="215"/>
      <c r="C26" s="177"/>
      <c r="D26" s="105" t="s">
        <v>578</v>
      </c>
      <c r="E26" s="196"/>
      <c r="F26" s="106" t="s">
        <v>416</v>
      </c>
      <c r="G26" s="107" t="s">
        <v>402</v>
      </c>
      <c r="H26" s="107" t="s">
        <v>146</v>
      </c>
      <c r="I26" s="107" t="s">
        <v>139</v>
      </c>
      <c r="J26" s="108" t="s">
        <v>594</v>
      </c>
      <c r="K26" s="108" t="s">
        <v>594</v>
      </c>
      <c r="L26" s="108" t="s">
        <v>594</v>
      </c>
      <c r="M26" s="108" t="s">
        <v>594</v>
      </c>
      <c r="N26" s="109" t="s">
        <v>595</v>
      </c>
      <c r="O26" s="133" t="s">
        <v>216</v>
      </c>
      <c r="P26" s="107"/>
      <c r="Q26" s="110" t="s">
        <v>200</v>
      </c>
      <c r="R26" s="110" t="s">
        <v>200</v>
      </c>
      <c r="S26" s="110" t="s">
        <v>200</v>
      </c>
      <c r="T26" s="111">
        <f t="shared" si="4"/>
        <v>20</v>
      </c>
      <c r="U26" s="112"/>
      <c r="V26" s="112"/>
      <c r="W26" s="112" t="s">
        <v>200</v>
      </c>
      <c r="X26" s="113">
        <f t="shared" si="2"/>
        <v>20</v>
      </c>
      <c r="Y26" s="112" t="s">
        <v>200</v>
      </c>
      <c r="Z26" s="112"/>
      <c r="AA26" s="114"/>
      <c r="AB26" s="113">
        <f t="shared" si="0"/>
        <v>60</v>
      </c>
      <c r="AC26" s="115">
        <f t="shared" si="1"/>
        <v>100</v>
      </c>
      <c r="AD26" s="197"/>
      <c r="AE26" s="198"/>
      <c r="AF26" s="59"/>
    </row>
    <row r="27" spans="2:38" ht="38.1" customHeight="1" x14ac:dyDescent="0.3">
      <c r="B27" s="216">
        <v>7</v>
      </c>
      <c r="C27" s="177" t="str">
        <f>VLOOKUP(B27,codr,6,0)</f>
        <v>Posibilidad de tener algún tipo de vínculo contractual con Personas Expuestas Políticamente (PEP) que se puedan aprovechar de su condición para realizar actividades de LA/FT/FPADM. (No es problemático tener esta relación contractual, el problema está en desconocerla)</v>
      </c>
      <c r="D27" s="105" t="s">
        <v>611</v>
      </c>
      <c r="E27" s="196" t="s">
        <v>408</v>
      </c>
      <c r="F27" s="106" t="s">
        <v>416</v>
      </c>
      <c r="G27" s="107" t="s">
        <v>402</v>
      </c>
      <c r="H27" s="107" t="s">
        <v>145</v>
      </c>
      <c r="I27" s="107" t="s">
        <v>139</v>
      </c>
      <c r="J27" s="108" t="s">
        <v>594</v>
      </c>
      <c r="K27" s="108" t="s">
        <v>594</v>
      </c>
      <c r="L27" s="108" t="s">
        <v>594</v>
      </c>
      <c r="M27" s="108" t="s">
        <v>594</v>
      </c>
      <c r="N27" s="109" t="s">
        <v>610</v>
      </c>
      <c r="O27" s="133" t="s">
        <v>216</v>
      </c>
      <c r="P27" s="107"/>
      <c r="Q27" s="110" t="s">
        <v>200</v>
      </c>
      <c r="R27" s="110" t="s">
        <v>200</v>
      </c>
      <c r="S27" s="110" t="s">
        <v>200</v>
      </c>
      <c r="T27" s="111">
        <f t="shared" si="4"/>
        <v>20</v>
      </c>
      <c r="U27" s="112"/>
      <c r="V27" s="112"/>
      <c r="W27" s="112" t="s">
        <v>200</v>
      </c>
      <c r="X27" s="113">
        <f t="shared" si="2"/>
        <v>20</v>
      </c>
      <c r="Y27" s="112" t="s">
        <v>200</v>
      </c>
      <c r="Z27" s="112"/>
      <c r="AA27" s="114"/>
      <c r="AB27" s="113">
        <f t="shared" si="0"/>
        <v>60</v>
      </c>
      <c r="AC27" s="115">
        <f t="shared" si="1"/>
        <v>100</v>
      </c>
      <c r="AD27" s="197">
        <f t="shared" ref="AD27" si="15">ROUND(IF(AND(AC29=-1,AC28=-1),AC27,IF(AC29=-1,AVERAGE(AC27:AC28),IF(AND(AC29&gt;=0,AC28&gt;=0,AC27&gt;=0),AVERAGE(AC27:AC29)))),0)</f>
        <v>100</v>
      </c>
      <c r="AE27" s="198" t="str">
        <f t="shared" ref="AE27" si="16">IF(AND(AD27&lt;20,AD27&gt;=0),"CRITICA",IF(AND(AD27&lt;61,AD27&gt;=20),"BAJA",IF(AND(AD27&lt;91,AD27&gt;=61),"BUENA",IF(AND(AD27&lt;=100,AD27&gt;=91),"EXCELENTE",0))))</f>
        <v>EXCELENTE</v>
      </c>
      <c r="AF27" s="59"/>
    </row>
    <row r="28" spans="2:38" ht="38.1" customHeight="1" x14ac:dyDescent="0.3">
      <c r="B28" s="217"/>
      <c r="C28" s="177"/>
      <c r="D28" s="105" t="s">
        <v>612</v>
      </c>
      <c r="E28" s="196"/>
      <c r="F28" s="106" t="s">
        <v>410</v>
      </c>
      <c r="G28" s="107" t="s">
        <v>402</v>
      </c>
      <c r="H28" s="107" t="s">
        <v>146</v>
      </c>
      <c r="I28" s="107" t="s">
        <v>139</v>
      </c>
      <c r="J28" s="108" t="s">
        <v>594</v>
      </c>
      <c r="K28" s="108" t="s">
        <v>594</v>
      </c>
      <c r="L28" s="108" t="s">
        <v>594</v>
      </c>
      <c r="M28" s="108" t="s">
        <v>594</v>
      </c>
      <c r="N28" s="109" t="s">
        <v>610</v>
      </c>
      <c r="O28" s="133" t="s">
        <v>216</v>
      </c>
      <c r="P28" s="107"/>
      <c r="Q28" s="110" t="s">
        <v>200</v>
      </c>
      <c r="R28" s="110" t="s">
        <v>200</v>
      </c>
      <c r="S28" s="110" t="s">
        <v>200</v>
      </c>
      <c r="T28" s="111">
        <f t="shared" si="4"/>
        <v>20</v>
      </c>
      <c r="U28" s="112"/>
      <c r="V28" s="112"/>
      <c r="W28" s="112" t="s">
        <v>200</v>
      </c>
      <c r="X28" s="113">
        <f t="shared" si="2"/>
        <v>20</v>
      </c>
      <c r="Y28" s="112" t="s">
        <v>200</v>
      </c>
      <c r="Z28" s="112"/>
      <c r="AA28" s="114"/>
      <c r="AB28" s="113">
        <f t="shared" si="0"/>
        <v>60</v>
      </c>
      <c r="AC28" s="115">
        <f t="shared" si="1"/>
        <v>100</v>
      </c>
      <c r="AD28" s="197"/>
      <c r="AE28" s="198"/>
      <c r="AF28" s="59"/>
    </row>
    <row r="29" spans="2:38" ht="79.05" customHeight="1" x14ac:dyDescent="0.3">
      <c r="B29" s="218"/>
      <c r="C29" s="177"/>
      <c r="D29" s="105" t="s">
        <v>613</v>
      </c>
      <c r="E29" s="196"/>
      <c r="F29" s="106" t="s">
        <v>416</v>
      </c>
      <c r="G29" s="107" t="s">
        <v>402</v>
      </c>
      <c r="H29" s="107" t="s">
        <v>146</v>
      </c>
      <c r="I29" s="107" t="s">
        <v>139</v>
      </c>
      <c r="J29" s="108" t="s">
        <v>594</v>
      </c>
      <c r="K29" s="108" t="s">
        <v>594</v>
      </c>
      <c r="L29" s="108" t="s">
        <v>594</v>
      </c>
      <c r="M29" s="108" t="s">
        <v>594</v>
      </c>
      <c r="N29" s="109" t="s">
        <v>595</v>
      </c>
      <c r="O29" s="133" t="s">
        <v>216</v>
      </c>
      <c r="P29" s="107"/>
      <c r="Q29" s="110" t="s">
        <v>200</v>
      </c>
      <c r="R29" s="110" t="s">
        <v>200</v>
      </c>
      <c r="S29" s="110" t="s">
        <v>200</v>
      </c>
      <c r="T29" s="111">
        <f t="shared" si="4"/>
        <v>20</v>
      </c>
      <c r="U29" s="112"/>
      <c r="V29" s="112"/>
      <c r="W29" s="112" t="s">
        <v>200</v>
      </c>
      <c r="X29" s="113">
        <f t="shared" si="2"/>
        <v>20</v>
      </c>
      <c r="Y29" s="112" t="s">
        <v>200</v>
      </c>
      <c r="Z29" s="112"/>
      <c r="AA29" s="114"/>
      <c r="AB29" s="113">
        <f t="shared" si="0"/>
        <v>60</v>
      </c>
      <c r="AC29" s="115">
        <f t="shared" si="1"/>
        <v>100</v>
      </c>
      <c r="AD29" s="197"/>
      <c r="AE29" s="198"/>
      <c r="AF29" s="59"/>
    </row>
    <row r="30" spans="2:38" ht="52.5" customHeight="1" x14ac:dyDescent="0.3">
      <c r="B30" s="163">
        <v>8</v>
      </c>
      <c r="C30" s="160" t="str">
        <f>VLOOKUP(B30,codr,6,0)</f>
        <v>Posibilidad de no incluir en el Plan Estratégico de la Lotería, el tema de LA/FT/FPADM.</v>
      </c>
      <c r="D30" s="105" t="s">
        <v>630</v>
      </c>
      <c r="E30" s="161" t="s">
        <v>408</v>
      </c>
      <c r="F30" s="106" t="s">
        <v>409</v>
      </c>
      <c r="G30" s="107" t="s">
        <v>402</v>
      </c>
      <c r="H30" s="107" t="s">
        <v>146</v>
      </c>
      <c r="I30" s="107" t="s">
        <v>139</v>
      </c>
      <c r="J30" s="108" t="s">
        <v>614</v>
      </c>
      <c r="K30" s="108" t="s">
        <v>614</v>
      </c>
      <c r="L30" s="108" t="s">
        <v>614</v>
      </c>
      <c r="M30" s="108" t="s">
        <v>614</v>
      </c>
      <c r="N30" s="109" t="s">
        <v>415</v>
      </c>
      <c r="O30" s="133" t="s">
        <v>216</v>
      </c>
      <c r="P30" s="107"/>
      <c r="Q30" s="110" t="s">
        <v>200</v>
      </c>
      <c r="R30" s="110" t="s">
        <v>200</v>
      </c>
      <c r="S30" s="110" t="s">
        <v>200</v>
      </c>
      <c r="T30" s="111">
        <f t="shared" si="4"/>
        <v>20</v>
      </c>
      <c r="U30" s="112"/>
      <c r="V30" s="112"/>
      <c r="W30" s="112" t="s">
        <v>200</v>
      </c>
      <c r="X30" s="113">
        <f t="shared" si="2"/>
        <v>20</v>
      </c>
      <c r="Y30" s="112" t="s">
        <v>200</v>
      </c>
      <c r="Z30" s="112"/>
      <c r="AA30" s="114"/>
      <c r="AB30" s="113">
        <f t="shared" si="0"/>
        <v>60</v>
      </c>
      <c r="AC30" s="115">
        <f t="shared" si="1"/>
        <v>100</v>
      </c>
      <c r="AD30" s="115">
        <f>ROUND(AC30,0)</f>
        <v>100</v>
      </c>
      <c r="AE30" s="114" t="str">
        <f t="shared" ref="AE30" si="17">IF(AND(AD30&lt;20,AD30&gt;=0),"CRITICA",IF(AND(AD30&lt;61,AD30&gt;=20),"BAJA",IF(AND(AD30&lt;91,AD30&gt;=61),"BUENA",IF(AND(AD30&lt;=100,AD30&gt;=91),"EXCELENTE",0))))</f>
        <v>EXCELENTE</v>
      </c>
      <c r="AF30" s="59"/>
    </row>
    <row r="31" spans="2:38" ht="50.1" customHeight="1" x14ac:dyDescent="0.3">
      <c r="B31" s="216">
        <v>9</v>
      </c>
      <c r="C31" s="177" t="str">
        <f>VLOOKUP(B31,codr,6,0)</f>
        <v>Posibilidad de tener vínculo contractual con contrapartes internas y externas sobre los que se ha emitido información negativa en medios de comunicación, están o han estado incluídos en procesos judiciales o administrativos por delitos relacionados con LA/FT/FPADM, que puedan permear a la Lotería de Bogotá</v>
      </c>
      <c r="D31" s="105" t="s">
        <v>617</v>
      </c>
      <c r="E31" s="196" t="s">
        <v>408</v>
      </c>
      <c r="F31" s="106" t="s">
        <v>416</v>
      </c>
      <c r="G31" s="107" t="s">
        <v>403</v>
      </c>
      <c r="H31" s="107" t="s">
        <v>412</v>
      </c>
      <c r="I31" s="107" t="s">
        <v>141</v>
      </c>
      <c r="J31" s="108" t="s">
        <v>594</v>
      </c>
      <c r="K31" s="108" t="s">
        <v>594</v>
      </c>
      <c r="L31" s="108" t="s">
        <v>594</v>
      </c>
      <c r="M31" s="108" t="s">
        <v>594</v>
      </c>
      <c r="N31" s="109" t="s">
        <v>415</v>
      </c>
      <c r="O31" s="133" t="s">
        <v>216</v>
      </c>
      <c r="P31" s="107"/>
      <c r="Q31" s="110" t="s">
        <v>200</v>
      </c>
      <c r="R31" s="110" t="s">
        <v>200</v>
      </c>
      <c r="S31" s="110" t="s">
        <v>200</v>
      </c>
      <c r="T31" s="111">
        <f t="shared" si="4"/>
        <v>20</v>
      </c>
      <c r="U31" s="112"/>
      <c r="V31" s="112"/>
      <c r="W31" s="112" t="s">
        <v>200</v>
      </c>
      <c r="X31" s="113">
        <f t="shared" si="2"/>
        <v>20</v>
      </c>
      <c r="Y31" s="112" t="s">
        <v>200</v>
      </c>
      <c r="Z31" s="112"/>
      <c r="AA31" s="114"/>
      <c r="AB31" s="113">
        <f t="shared" si="0"/>
        <v>60</v>
      </c>
      <c r="AC31" s="115">
        <f t="shared" si="1"/>
        <v>100</v>
      </c>
      <c r="AD31" s="199">
        <f>ROUND(IF(AC32=-1,AC31,IF(AND(AC32&gt;=0,AC31&gt;=0),AVERAGE(AC31:AC32))),0)</f>
        <v>50</v>
      </c>
      <c r="AE31" s="201" t="str">
        <f t="shared" ref="AE31" si="18">IF(AND(AD31&lt;20,AD31&gt;=0),"CRITICA",IF(AND(AD31&lt;61,AD31&gt;=20),"BAJA",IF(AND(AD31&lt;91,AD31&gt;=61),"BUENA",IF(AND(AD31&lt;=100,AD31&gt;=91),"EXCELENTE",0))))</f>
        <v>BAJA</v>
      </c>
      <c r="AF31" s="59"/>
    </row>
    <row r="32" spans="2:38" ht="50.1" customHeight="1" x14ac:dyDescent="0.3">
      <c r="B32" s="217"/>
      <c r="C32" s="177"/>
      <c r="D32" s="105" t="s">
        <v>615</v>
      </c>
      <c r="E32" s="196"/>
      <c r="F32" s="106" t="s">
        <v>410</v>
      </c>
      <c r="G32" s="107" t="s">
        <v>403</v>
      </c>
      <c r="H32" s="107" t="s">
        <v>144</v>
      </c>
      <c r="I32" s="107" t="s">
        <v>139</v>
      </c>
      <c r="J32" s="108" t="s">
        <v>616</v>
      </c>
      <c r="K32" s="108" t="s">
        <v>616</v>
      </c>
      <c r="L32" s="108" t="s">
        <v>616</v>
      </c>
      <c r="M32" s="108" t="s">
        <v>616</v>
      </c>
      <c r="N32" s="109" t="s">
        <v>415</v>
      </c>
      <c r="O32" s="133" t="s">
        <v>215</v>
      </c>
      <c r="P32" s="107" t="s">
        <v>200</v>
      </c>
      <c r="Q32" s="110"/>
      <c r="R32" s="110"/>
      <c r="S32" s="110"/>
      <c r="T32" s="111">
        <f t="shared" si="4"/>
        <v>0</v>
      </c>
      <c r="U32" s="112" t="s">
        <v>200</v>
      </c>
      <c r="V32" s="112"/>
      <c r="W32" s="112"/>
      <c r="X32" s="113">
        <f t="shared" si="2"/>
        <v>0</v>
      </c>
      <c r="Y32" s="112"/>
      <c r="Z32" s="112" t="s">
        <v>200</v>
      </c>
      <c r="AA32" s="114"/>
      <c r="AB32" s="113">
        <f t="shared" si="0"/>
        <v>0</v>
      </c>
      <c r="AC32" s="115">
        <f t="shared" si="1"/>
        <v>0</v>
      </c>
      <c r="AD32" s="200"/>
      <c r="AE32" s="202"/>
      <c r="AF32" s="59"/>
    </row>
    <row r="33" spans="2:42" ht="67.05" customHeight="1" x14ac:dyDescent="0.3">
      <c r="B33" s="216">
        <v>10</v>
      </c>
      <c r="C33" s="177" t="str">
        <f>VLOOKUP(B33,codr,6,0)</f>
        <v xml:space="preserve">Posibilidad de pérdida y/o extracción de información relacionada con las bases de datos de la Lotería, que pueda ser utilizada por terceros para realizar actividades de LA/FT/FPADM. </v>
      </c>
      <c r="D33" s="105" t="s">
        <v>581</v>
      </c>
      <c r="E33" s="196" t="s">
        <v>408</v>
      </c>
      <c r="F33" s="106" t="s">
        <v>411</v>
      </c>
      <c r="G33" s="107" t="s">
        <v>402</v>
      </c>
      <c r="H33" s="107" t="s">
        <v>146</v>
      </c>
      <c r="I33" s="107" t="s">
        <v>139</v>
      </c>
      <c r="J33" s="108" t="s">
        <v>618</v>
      </c>
      <c r="K33" s="108" t="s">
        <v>618</v>
      </c>
      <c r="L33" s="108" t="s">
        <v>618</v>
      </c>
      <c r="M33" s="108" t="s">
        <v>618</v>
      </c>
      <c r="N33" s="109" t="s">
        <v>595</v>
      </c>
      <c r="O33" s="133" t="s">
        <v>35</v>
      </c>
      <c r="P33" s="107"/>
      <c r="Q33" s="110" t="s">
        <v>200</v>
      </c>
      <c r="R33" s="110" t="s">
        <v>200</v>
      </c>
      <c r="S33" s="110" t="s">
        <v>200</v>
      </c>
      <c r="T33" s="111">
        <f t="shared" si="4"/>
        <v>20</v>
      </c>
      <c r="U33" s="112"/>
      <c r="V33" s="112"/>
      <c r="W33" s="112" t="s">
        <v>200</v>
      </c>
      <c r="X33" s="113">
        <f t="shared" si="2"/>
        <v>20</v>
      </c>
      <c r="Y33" s="112" t="s">
        <v>200</v>
      </c>
      <c r="Z33" s="112"/>
      <c r="AA33" s="114"/>
      <c r="AB33" s="113">
        <f t="shared" si="0"/>
        <v>60</v>
      </c>
      <c r="AC33" s="115">
        <f t="shared" si="1"/>
        <v>100</v>
      </c>
      <c r="AD33" s="197">
        <f>ROUND(IF(AC34=-1,AC33,IF(AND(AC34&gt;=0,AC33&gt;=0),AVERAGE(AC33:AC34))),0)</f>
        <v>100</v>
      </c>
      <c r="AE33" s="198" t="str">
        <f t="shared" ref="AE33" si="19">IF(AND(AD33&lt;20,AD33&gt;=0),"CRITICA",IF(AND(AD33&lt;61,AD33&gt;=20),"BAJA",IF(AND(AD33&lt;91,AD33&gt;=61),"BUENA",IF(AND(AD33&lt;=100,AD33&gt;=91),"EXCELENTE",0))))</f>
        <v>EXCELENTE</v>
      </c>
      <c r="AF33" s="59"/>
    </row>
    <row r="34" spans="2:42" ht="38.1" customHeight="1" x14ac:dyDescent="0.3">
      <c r="B34" s="217"/>
      <c r="C34" s="177"/>
      <c r="D34" s="105" t="s">
        <v>580</v>
      </c>
      <c r="E34" s="196"/>
      <c r="F34" s="106" t="s">
        <v>416</v>
      </c>
      <c r="G34" s="107" t="s">
        <v>402</v>
      </c>
      <c r="H34" s="107" t="s">
        <v>412</v>
      </c>
      <c r="I34" s="107" t="s">
        <v>141</v>
      </c>
      <c r="J34" s="108" t="s">
        <v>619</v>
      </c>
      <c r="K34" s="108" t="s">
        <v>619</v>
      </c>
      <c r="L34" s="108" t="s">
        <v>619</v>
      </c>
      <c r="M34" s="108" t="s">
        <v>619</v>
      </c>
      <c r="N34" s="109" t="s">
        <v>415</v>
      </c>
      <c r="O34" s="133" t="s">
        <v>216</v>
      </c>
      <c r="P34" s="107"/>
      <c r="Q34" s="110" t="s">
        <v>200</v>
      </c>
      <c r="R34" s="110" t="s">
        <v>200</v>
      </c>
      <c r="S34" s="110" t="s">
        <v>200</v>
      </c>
      <c r="T34" s="111">
        <f t="shared" si="4"/>
        <v>20</v>
      </c>
      <c r="U34" s="112"/>
      <c r="V34" s="112"/>
      <c r="W34" s="112" t="s">
        <v>200</v>
      </c>
      <c r="X34" s="113">
        <f t="shared" si="2"/>
        <v>20</v>
      </c>
      <c r="Y34" s="112" t="s">
        <v>200</v>
      </c>
      <c r="Z34" s="112"/>
      <c r="AA34" s="114"/>
      <c r="AB34" s="113">
        <f t="shared" si="0"/>
        <v>60</v>
      </c>
      <c r="AC34" s="115">
        <f t="shared" si="1"/>
        <v>100</v>
      </c>
      <c r="AD34" s="197"/>
      <c r="AE34" s="198"/>
      <c r="AF34" s="59"/>
    </row>
    <row r="35" spans="2:42" ht="52.05" customHeight="1" x14ac:dyDescent="0.3">
      <c r="B35" s="216">
        <v>11</v>
      </c>
      <c r="C35" s="177" t="str">
        <f>VLOOKUP(B35,codr,6,0)</f>
        <v>Posibilidad de pagar premios a usuarios y/o clientes en la página web de la Lotería o de manera tradicional, sin verificar la identidad del ganador y/o que este relacionado en actividades de LA/FT/FPADM.</v>
      </c>
      <c r="D35" s="105" t="s">
        <v>621</v>
      </c>
      <c r="E35" s="196" t="s">
        <v>408</v>
      </c>
      <c r="F35" s="106" t="s">
        <v>416</v>
      </c>
      <c r="G35" s="107" t="s">
        <v>403</v>
      </c>
      <c r="H35" s="107" t="s">
        <v>412</v>
      </c>
      <c r="I35" s="107" t="s">
        <v>139</v>
      </c>
      <c r="J35" s="108" t="s">
        <v>622</v>
      </c>
      <c r="K35" s="108" t="s">
        <v>622</v>
      </c>
      <c r="L35" s="108" t="s">
        <v>622</v>
      </c>
      <c r="M35" s="108" t="s">
        <v>622</v>
      </c>
      <c r="N35" s="109" t="s">
        <v>610</v>
      </c>
      <c r="O35" s="133" t="s">
        <v>216</v>
      </c>
      <c r="P35" s="107"/>
      <c r="Q35" s="110" t="s">
        <v>200</v>
      </c>
      <c r="R35" s="110" t="s">
        <v>200</v>
      </c>
      <c r="S35" s="110" t="s">
        <v>200</v>
      </c>
      <c r="T35" s="111">
        <f t="shared" si="4"/>
        <v>20</v>
      </c>
      <c r="U35" s="112"/>
      <c r="V35" s="112"/>
      <c r="W35" s="112" t="s">
        <v>200</v>
      </c>
      <c r="X35" s="113">
        <f t="shared" si="2"/>
        <v>20</v>
      </c>
      <c r="Y35" s="112" t="s">
        <v>200</v>
      </c>
      <c r="Z35" s="112"/>
      <c r="AA35" s="114"/>
      <c r="AB35" s="113">
        <f t="shared" si="0"/>
        <v>60</v>
      </c>
      <c r="AC35" s="115">
        <f t="shared" si="1"/>
        <v>100</v>
      </c>
      <c r="AD35" s="197">
        <f t="shared" ref="AD35" si="20">ROUND(IF(AND(AC37=-1,AC36=-1),AC35,IF(AC37=-1,AVERAGE(AC35:AC36),IF(AND(AC37&gt;=0,AC36&gt;=0,AC35&gt;=0),AVERAGE(AC35:AC37)))),0)</f>
        <v>100</v>
      </c>
      <c r="AE35" s="198" t="str">
        <f t="shared" ref="AE35" si="21">IF(AND(AD35&lt;20,AD35&gt;=0),"CRITICA",IF(AND(AD35&lt;61,AD35&gt;=20),"BAJA",IF(AND(AD35&lt;91,AD35&gt;=61),"BUENA",IF(AND(AD35&lt;=100,AD35&gt;=91),"EXCELENTE",0))))</f>
        <v>EXCELENTE</v>
      </c>
      <c r="AF35" s="59"/>
    </row>
    <row r="36" spans="2:42" ht="63" customHeight="1" x14ac:dyDescent="0.3">
      <c r="B36" s="217"/>
      <c r="C36" s="177"/>
      <c r="D36" s="105" t="s">
        <v>623</v>
      </c>
      <c r="E36" s="196"/>
      <c r="F36" s="106" t="s">
        <v>410</v>
      </c>
      <c r="G36" s="107" t="s">
        <v>403</v>
      </c>
      <c r="H36" s="107" t="s">
        <v>412</v>
      </c>
      <c r="I36" s="107" t="s">
        <v>143</v>
      </c>
      <c r="J36" s="108" t="s">
        <v>622</v>
      </c>
      <c r="K36" s="108" t="s">
        <v>622</v>
      </c>
      <c r="L36" s="108" t="s">
        <v>622</v>
      </c>
      <c r="M36" s="108" t="s">
        <v>622</v>
      </c>
      <c r="N36" s="109" t="s">
        <v>415</v>
      </c>
      <c r="O36" s="133" t="s">
        <v>216</v>
      </c>
      <c r="P36" s="107"/>
      <c r="Q36" s="110" t="s">
        <v>200</v>
      </c>
      <c r="R36" s="110" t="s">
        <v>200</v>
      </c>
      <c r="S36" s="110" t="s">
        <v>200</v>
      </c>
      <c r="T36" s="111">
        <f t="shared" si="4"/>
        <v>20</v>
      </c>
      <c r="U36" s="112"/>
      <c r="V36" s="112"/>
      <c r="W36" s="112" t="s">
        <v>200</v>
      </c>
      <c r="X36" s="113">
        <f t="shared" si="2"/>
        <v>20</v>
      </c>
      <c r="Y36" s="112" t="s">
        <v>200</v>
      </c>
      <c r="Z36" s="112"/>
      <c r="AA36" s="114"/>
      <c r="AB36" s="113">
        <f t="shared" si="0"/>
        <v>60</v>
      </c>
      <c r="AC36" s="115">
        <f t="shared" si="1"/>
        <v>100</v>
      </c>
      <c r="AD36" s="197"/>
      <c r="AE36" s="198"/>
      <c r="AF36" s="59"/>
    </row>
    <row r="37" spans="2:42" ht="38.1" customHeight="1" x14ac:dyDescent="0.3">
      <c r="B37" s="218"/>
      <c r="C37" s="177"/>
      <c r="D37" s="105" t="s">
        <v>631</v>
      </c>
      <c r="E37" s="196"/>
      <c r="F37" s="106" t="s">
        <v>411</v>
      </c>
      <c r="G37" s="107" t="s">
        <v>403</v>
      </c>
      <c r="H37" s="107" t="s">
        <v>146</v>
      </c>
      <c r="I37" s="107" t="s">
        <v>141</v>
      </c>
      <c r="J37" s="108" t="s">
        <v>619</v>
      </c>
      <c r="K37" s="108" t="s">
        <v>619</v>
      </c>
      <c r="L37" s="108" t="s">
        <v>619</v>
      </c>
      <c r="M37" s="108" t="s">
        <v>619</v>
      </c>
      <c r="N37" s="109" t="s">
        <v>415</v>
      </c>
      <c r="O37" s="133" t="s">
        <v>216</v>
      </c>
      <c r="P37" s="107"/>
      <c r="Q37" s="110" t="s">
        <v>200</v>
      </c>
      <c r="R37" s="110" t="s">
        <v>200</v>
      </c>
      <c r="S37" s="110" t="s">
        <v>200</v>
      </c>
      <c r="T37" s="111">
        <f t="shared" si="4"/>
        <v>20</v>
      </c>
      <c r="U37" s="112"/>
      <c r="V37" s="112"/>
      <c r="W37" s="112" t="s">
        <v>200</v>
      </c>
      <c r="X37" s="113">
        <f t="shared" si="2"/>
        <v>20</v>
      </c>
      <c r="Y37" s="112" t="s">
        <v>200</v>
      </c>
      <c r="Z37" s="112"/>
      <c r="AA37" s="114"/>
      <c r="AB37" s="113">
        <f t="shared" si="0"/>
        <v>60</v>
      </c>
      <c r="AC37" s="115">
        <f>IF(AB37=FALSE,-1,T37+X37+AB37)</f>
        <v>100</v>
      </c>
      <c r="AD37" s="197"/>
      <c r="AE37" s="198"/>
      <c r="AF37" s="59"/>
    </row>
    <row r="38" spans="2:42" ht="38.1" customHeight="1" x14ac:dyDescent="0.3">
      <c r="B38" s="216">
        <v>12</v>
      </c>
      <c r="C38" s="177" t="str">
        <f>VLOOKUP(B38,codr,6,0)</f>
        <v xml:space="preserve">Posibilidad de que un ganador del premio de la lotería venda o realice algun tipo de negociación con un tercero, para transferir la propiedad del billete de lotería con la finalidad de realizar una operación de LA/FT/FPADM. </v>
      </c>
      <c r="D38" s="105" t="s">
        <v>582</v>
      </c>
      <c r="E38" s="196" t="s">
        <v>408</v>
      </c>
      <c r="F38" s="106" t="s">
        <v>416</v>
      </c>
      <c r="G38" s="107" t="s">
        <v>402</v>
      </c>
      <c r="H38" s="107" t="s">
        <v>145</v>
      </c>
      <c r="I38" s="107" t="s">
        <v>141</v>
      </c>
      <c r="J38" s="108" t="s">
        <v>616</v>
      </c>
      <c r="K38" s="108" t="s">
        <v>616</v>
      </c>
      <c r="L38" s="108" t="s">
        <v>616</v>
      </c>
      <c r="M38" s="108" t="s">
        <v>616</v>
      </c>
      <c r="N38" s="109" t="s">
        <v>624</v>
      </c>
      <c r="O38" s="133" t="s">
        <v>216</v>
      </c>
      <c r="P38" s="107"/>
      <c r="Q38" s="110" t="s">
        <v>200</v>
      </c>
      <c r="R38" s="110" t="s">
        <v>200</v>
      </c>
      <c r="S38" s="110"/>
      <c r="T38" s="111">
        <f t="shared" si="4"/>
        <v>10</v>
      </c>
      <c r="U38" s="112"/>
      <c r="V38" s="112"/>
      <c r="W38" s="112" t="s">
        <v>200</v>
      </c>
      <c r="X38" s="113">
        <f t="shared" si="2"/>
        <v>20</v>
      </c>
      <c r="Y38" s="112" t="s">
        <v>200</v>
      </c>
      <c r="Z38" s="112"/>
      <c r="AA38" s="114"/>
      <c r="AB38" s="113">
        <f t="shared" si="0"/>
        <v>60</v>
      </c>
      <c r="AC38" s="115">
        <f t="shared" ref="AC38:AC44" si="22">IF(AB38=FALSE,-1,T38+X38+AB38)</f>
        <v>90</v>
      </c>
      <c r="AD38" s="197">
        <f t="shared" ref="AD38" si="23">ROUND(IF(AND(AC40=-1,AC39=-1),AC38,IF(AC40=-1,AVERAGE(AC38:AC39),IF(AND(AC40&gt;=0,AC39&gt;=0,AC38&gt;=0),AVERAGE(AC38:AC40)))),0)</f>
        <v>67</v>
      </c>
      <c r="AE38" s="198" t="str">
        <f t="shared" ref="AE38" si="24">IF(AND(AD38&lt;20,AD38&gt;=0),"CRITICA",IF(AND(AD38&lt;61,AD38&gt;=20),"BAJA",IF(AND(AD38&lt;91,AD38&gt;=61),"BUENA",IF(AND(AD38&lt;=100,AD38&gt;=91),"EXCELENTE",0))))</f>
        <v>BUENA</v>
      </c>
      <c r="AF38" s="59"/>
    </row>
    <row r="39" spans="2:42" ht="38.1" customHeight="1" x14ac:dyDescent="0.3">
      <c r="B39" s="217"/>
      <c r="C39" s="177"/>
      <c r="D39" s="105" t="s">
        <v>621</v>
      </c>
      <c r="E39" s="196"/>
      <c r="F39" s="106" t="s">
        <v>416</v>
      </c>
      <c r="G39" s="107" t="s">
        <v>403</v>
      </c>
      <c r="H39" s="107" t="s">
        <v>412</v>
      </c>
      <c r="I39" s="107" t="s">
        <v>139</v>
      </c>
      <c r="J39" s="108" t="s">
        <v>622</v>
      </c>
      <c r="K39" s="108" t="s">
        <v>622</v>
      </c>
      <c r="L39" s="108" t="s">
        <v>622</v>
      </c>
      <c r="M39" s="108" t="s">
        <v>622</v>
      </c>
      <c r="N39" s="109" t="s">
        <v>610</v>
      </c>
      <c r="O39" s="133" t="s">
        <v>216</v>
      </c>
      <c r="P39" s="107"/>
      <c r="Q39" s="110" t="s">
        <v>200</v>
      </c>
      <c r="R39" s="110" t="s">
        <v>200</v>
      </c>
      <c r="S39" s="110" t="s">
        <v>200</v>
      </c>
      <c r="T39" s="111">
        <f t="shared" si="4"/>
        <v>20</v>
      </c>
      <c r="U39" s="112"/>
      <c r="V39" s="112"/>
      <c r="W39" s="112" t="s">
        <v>200</v>
      </c>
      <c r="X39" s="113">
        <f t="shared" si="2"/>
        <v>20</v>
      </c>
      <c r="Y39" s="112" t="s">
        <v>200</v>
      </c>
      <c r="Z39" s="112"/>
      <c r="AA39" s="114"/>
      <c r="AB39" s="113">
        <f t="shared" si="0"/>
        <v>60</v>
      </c>
      <c r="AC39" s="115">
        <f t="shared" si="22"/>
        <v>100</v>
      </c>
      <c r="AD39" s="197"/>
      <c r="AE39" s="198"/>
      <c r="AF39" s="59"/>
    </row>
    <row r="40" spans="2:42" ht="66" customHeight="1" x14ac:dyDescent="0.3">
      <c r="B40" s="218"/>
      <c r="C40" s="177"/>
      <c r="D40" s="105" t="s">
        <v>623</v>
      </c>
      <c r="E40" s="196"/>
      <c r="F40" s="106" t="s">
        <v>410</v>
      </c>
      <c r="G40" s="107" t="s">
        <v>403</v>
      </c>
      <c r="H40" s="107" t="s">
        <v>412</v>
      </c>
      <c r="I40" s="107" t="s">
        <v>143</v>
      </c>
      <c r="J40" s="108" t="s">
        <v>622</v>
      </c>
      <c r="K40" s="108" t="s">
        <v>622</v>
      </c>
      <c r="L40" s="108" t="s">
        <v>594</v>
      </c>
      <c r="M40" s="108" t="s">
        <v>622</v>
      </c>
      <c r="N40" s="109" t="s">
        <v>415</v>
      </c>
      <c r="O40" s="133" t="s">
        <v>215</v>
      </c>
      <c r="P40" s="107" t="s">
        <v>200</v>
      </c>
      <c r="Q40" s="110"/>
      <c r="R40" s="110"/>
      <c r="S40" s="110"/>
      <c r="T40" s="111">
        <f t="shared" si="4"/>
        <v>0</v>
      </c>
      <c r="U40" s="112"/>
      <c r="V40" s="112" t="s">
        <v>200</v>
      </c>
      <c r="W40" s="112"/>
      <c r="X40" s="113">
        <f t="shared" si="2"/>
        <v>10</v>
      </c>
      <c r="Y40" s="112"/>
      <c r="Z40" s="112" t="s">
        <v>200</v>
      </c>
      <c r="AA40" s="114"/>
      <c r="AB40" s="113">
        <f t="shared" si="0"/>
        <v>0</v>
      </c>
      <c r="AC40" s="115">
        <f t="shared" si="22"/>
        <v>10</v>
      </c>
      <c r="AD40" s="197"/>
      <c r="AE40" s="198"/>
      <c r="AF40" s="59"/>
    </row>
    <row r="41" spans="2:42" ht="50.1" customHeight="1" x14ac:dyDescent="0.3">
      <c r="B41" s="162">
        <v>13</v>
      </c>
      <c r="C41" s="160" t="str">
        <f>VLOOKUP(B41,codr,6,0)</f>
        <v>Posibilidad de tener vínculo contractual con contrapartes que aparezcan en listas vinculantes y de control LA/FT/FPADM en la revisión periódica-masiva de éstas.</v>
      </c>
      <c r="D41" s="105" t="s">
        <v>625</v>
      </c>
      <c r="E41" s="161" t="s">
        <v>408</v>
      </c>
      <c r="F41" s="106" t="s">
        <v>416</v>
      </c>
      <c r="G41" s="107" t="s">
        <v>403</v>
      </c>
      <c r="H41" s="107" t="s">
        <v>146</v>
      </c>
      <c r="I41" s="107" t="s">
        <v>141</v>
      </c>
      <c r="J41" s="108" t="s">
        <v>594</v>
      </c>
      <c r="K41" s="108" t="s">
        <v>594</v>
      </c>
      <c r="L41" s="108" t="s">
        <v>594</v>
      </c>
      <c r="M41" s="108" t="s">
        <v>594</v>
      </c>
      <c r="N41" s="109" t="s">
        <v>415</v>
      </c>
      <c r="O41" s="133" t="s">
        <v>216</v>
      </c>
      <c r="P41" s="107"/>
      <c r="Q41" s="110" t="s">
        <v>200</v>
      </c>
      <c r="R41" s="110" t="s">
        <v>200</v>
      </c>
      <c r="S41" s="110"/>
      <c r="T41" s="111">
        <f t="shared" si="4"/>
        <v>10</v>
      </c>
      <c r="U41" s="112"/>
      <c r="V41" s="112"/>
      <c r="W41" s="112" t="s">
        <v>200</v>
      </c>
      <c r="X41" s="113">
        <f t="shared" si="2"/>
        <v>20</v>
      </c>
      <c r="Y41" s="112" t="s">
        <v>200</v>
      </c>
      <c r="Z41" s="112"/>
      <c r="AA41" s="114"/>
      <c r="AB41" s="113">
        <f t="shared" si="0"/>
        <v>60</v>
      </c>
      <c r="AC41" s="115">
        <f t="shared" si="22"/>
        <v>90</v>
      </c>
      <c r="AD41" s="115">
        <f>ROUND(AC41,0)</f>
        <v>90</v>
      </c>
      <c r="AE41" s="114" t="str">
        <f t="shared" ref="AE41" si="25">IF(AND(AD41&lt;20,AD41&gt;=0),"CRITICA",IF(AND(AD41&lt;61,AD41&gt;=20),"BAJA",IF(AND(AD41&lt;91,AD41&gt;=61),"BUENA",IF(AND(AD41&lt;=100,AD41&gt;=91),"EXCELENTE",0))))</f>
        <v>BUENA</v>
      </c>
      <c r="AF41" s="59"/>
    </row>
    <row r="42" spans="2:42" ht="70.5" customHeight="1" x14ac:dyDescent="0.3">
      <c r="B42" s="216">
        <v>14</v>
      </c>
      <c r="C42" s="177" t="str">
        <f>VLOOKUP(B42,codr,6,0)</f>
        <v>Posibilidad de que los distribuidores y gestores de la Lotería de Bogotá realicen el pago y/o entrega de un premio en dinero o en especie, sin aplicar los protocolos de consulta en las listas vinculantes y de control.</v>
      </c>
      <c r="D42" s="105" t="s">
        <v>583</v>
      </c>
      <c r="E42" s="196" t="s">
        <v>408</v>
      </c>
      <c r="F42" s="106" t="s">
        <v>416</v>
      </c>
      <c r="G42" s="107" t="s">
        <v>402</v>
      </c>
      <c r="H42" s="107" t="s">
        <v>146</v>
      </c>
      <c r="I42" s="107" t="s">
        <v>139</v>
      </c>
      <c r="J42" s="108" t="s">
        <v>594</v>
      </c>
      <c r="K42" s="108" t="s">
        <v>594</v>
      </c>
      <c r="L42" s="108" t="s">
        <v>594</v>
      </c>
      <c r="M42" s="108" t="s">
        <v>594</v>
      </c>
      <c r="N42" s="109" t="s">
        <v>610</v>
      </c>
      <c r="O42" s="133" t="s">
        <v>215</v>
      </c>
      <c r="P42" s="107"/>
      <c r="Q42" s="110" t="s">
        <v>200</v>
      </c>
      <c r="R42" s="110"/>
      <c r="S42" s="110"/>
      <c r="T42" s="111">
        <f t="shared" si="4"/>
        <v>3</v>
      </c>
      <c r="U42" s="112" t="s">
        <v>200</v>
      </c>
      <c r="V42" s="112"/>
      <c r="W42" s="112"/>
      <c r="X42" s="113">
        <f t="shared" si="2"/>
        <v>0</v>
      </c>
      <c r="Y42" s="112"/>
      <c r="Z42" s="112" t="s">
        <v>200</v>
      </c>
      <c r="AA42" s="114"/>
      <c r="AB42" s="113">
        <f t="shared" si="0"/>
        <v>0</v>
      </c>
      <c r="AC42" s="115">
        <f t="shared" si="22"/>
        <v>3</v>
      </c>
      <c r="AD42" s="197">
        <f>ROUND(IF(AND(AC44=-1,AC43=-1),AC42,IF(AC44=-1,AVERAGE(AC42:AC43),IF(AND(AC44&gt;=0,AC43&gt;=0,AC42&gt;=0),AVERAGE(AC42:AC44)))),0)</f>
        <v>49</v>
      </c>
      <c r="AE42" s="198" t="str">
        <f t="shared" ref="AE42" si="26">IF(AND(AD42&lt;20,AD42&gt;=0),"CRITICA",IF(AND(AD42&lt;61,AD42&gt;=20),"BAJA",IF(AND(AD42&lt;91,AD42&gt;=61),"BUENA",IF(AND(AD42&lt;=100,AD42&gt;=91),"EXCELENTE",0))))</f>
        <v>BAJA</v>
      </c>
      <c r="AF42" s="59"/>
    </row>
    <row r="43" spans="2:42" ht="38.1" customHeight="1" x14ac:dyDescent="0.3">
      <c r="B43" s="217"/>
      <c r="C43" s="177"/>
      <c r="D43" s="105" t="s">
        <v>584</v>
      </c>
      <c r="E43" s="196"/>
      <c r="F43" s="106" t="s">
        <v>414</v>
      </c>
      <c r="G43" s="107" t="s">
        <v>402</v>
      </c>
      <c r="H43" s="107" t="s">
        <v>164</v>
      </c>
      <c r="I43" s="107" t="s">
        <v>139</v>
      </c>
      <c r="J43" s="108" t="s">
        <v>620</v>
      </c>
      <c r="K43" s="108" t="s">
        <v>620</v>
      </c>
      <c r="L43" s="108" t="s">
        <v>620</v>
      </c>
      <c r="M43" s="108" t="s">
        <v>620</v>
      </c>
      <c r="N43" s="109" t="s">
        <v>413</v>
      </c>
      <c r="O43" s="133" t="s">
        <v>215</v>
      </c>
      <c r="P43" s="107"/>
      <c r="Q43" s="110" t="s">
        <v>200</v>
      </c>
      <c r="R43" s="110"/>
      <c r="S43" s="110"/>
      <c r="T43" s="111">
        <f t="shared" si="4"/>
        <v>3</v>
      </c>
      <c r="U43" s="112"/>
      <c r="V43" s="112"/>
      <c r="W43" s="112" t="s">
        <v>200</v>
      </c>
      <c r="X43" s="113">
        <f t="shared" si="2"/>
        <v>20</v>
      </c>
      <c r="Y43" s="112" t="s">
        <v>200</v>
      </c>
      <c r="Z43" s="112"/>
      <c r="AA43" s="114"/>
      <c r="AB43" s="113">
        <f t="shared" si="0"/>
        <v>60</v>
      </c>
      <c r="AC43" s="115">
        <f t="shared" si="22"/>
        <v>83</v>
      </c>
      <c r="AD43" s="197"/>
      <c r="AE43" s="198"/>
      <c r="AF43" s="59"/>
    </row>
    <row r="44" spans="2:42" ht="38.1" customHeight="1" x14ac:dyDescent="0.3">
      <c r="B44" s="218"/>
      <c r="C44" s="177"/>
      <c r="D44" s="105" t="s">
        <v>585</v>
      </c>
      <c r="E44" s="196"/>
      <c r="F44" s="106" t="s">
        <v>416</v>
      </c>
      <c r="G44" s="107" t="s">
        <v>403</v>
      </c>
      <c r="H44" s="107" t="s">
        <v>164</v>
      </c>
      <c r="I44" s="107" t="s">
        <v>141</v>
      </c>
      <c r="J44" s="108" t="s">
        <v>594</v>
      </c>
      <c r="K44" s="108" t="s">
        <v>594</v>
      </c>
      <c r="L44" s="108" t="s">
        <v>594</v>
      </c>
      <c r="M44" s="108" t="s">
        <v>594</v>
      </c>
      <c r="N44" s="109" t="s">
        <v>415</v>
      </c>
      <c r="O44" s="133" t="s">
        <v>215</v>
      </c>
      <c r="P44" s="107" t="s">
        <v>200</v>
      </c>
      <c r="Q44" s="110"/>
      <c r="R44" s="110"/>
      <c r="S44" s="110"/>
      <c r="T44" s="111">
        <f t="shared" si="4"/>
        <v>0</v>
      </c>
      <c r="U44" s="112" t="s">
        <v>200</v>
      </c>
      <c r="V44" s="112"/>
      <c r="W44" s="112"/>
      <c r="X44" s="113">
        <f t="shared" si="2"/>
        <v>0</v>
      </c>
      <c r="Y44" s="112" t="s">
        <v>200</v>
      </c>
      <c r="Z44" s="112"/>
      <c r="AA44" s="114"/>
      <c r="AB44" s="113">
        <f t="shared" si="0"/>
        <v>60</v>
      </c>
      <c r="AC44" s="115">
        <f t="shared" si="22"/>
        <v>60</v>
      </c>
      <c r="AD44" s="197"/>
      <c r="AE44" s="198"/>
      <c r="AF44" s="59"/>
    </row>
    <row r="45" spans="2:42" ht="70.5" customHeight="1" x14ac:dyDescent="0.3">
      <c r="B45" s="216">
        <v>15</v>
      </c>
      <c r="C45" s="177" t="str">
        <f>VLOOKUP(B45,codr,6,0)</f>
        <v>Posibilidad de que los ganadores de premios de la Lotería de Bogotá realicen cobros del premio de manera fraccionada.</v>
      </c>
      <c r="D45" s="105" t="s">
        <v>633</v>
      </c>
      <c r="E45" s="196" t="s">
        <v>408</v>
      </c>
      <c r="F45" s="106" t="s">
        <v>416</v>
      </c>
      <c r="G45" s="107" t="s">
        <v>403</v>
      </c>
      <c r="H45" s="107" t="s">
        <v>164</v>
      </c>
      <c r="I45" s="107" t="s">
        <v>139</v>
      </c>
      <c r="J45" s="108" t="s">
        <v>622</v>
      </c>
      <c r="K45" s="108" t="s">
        <v>622</v>
      </c>
      <c r="L45" s="108" t="s">
        <v>622</v>
      </c>
      <c r="M45" s="108" t="s">
        <v>622</v>
      </c>
      <c r="N45" s="109" t="s">
        <v>413</v>
      </c>
      <c r="O45" s="133" t="s">
        <v>215</v>
      </c>
      <c r="P45" s="107"/>
      <c r="Q45" s="110" t="s">
        <v>200</v>
      </c>
      <c r="R45" s="110"/>
      <c r="S45" s="110"/>
      <c r="T45" s="111">
        <f t="shared" ref="T45:T46" si="27">IF(OR(P45="X",AND(Q45="",OR(R45="X",S45="X")),AND(R45="",S45="X")),$P$8,IF(Q45="X",$Q$8+(IF(R45="X",$R$8+(IF(S45="X",$S$8))))))</f>
        <v>3</v>
      </c>
      <c r="U45" s="112" t="s">
        <v>200</v>
      </c>
      <c r="V45" s="112"/>
      <c r="W45" s="112"/>
      <c r="X45" s="113">
        <f t="shared" ref="X45:X46" si="28">IF(COUNTA(U45:W45)&gt;1,$U$8,IF(U45="X",$U$8)+IF(V45="X",$V$8)+IF(W45="X",$W$8))</f>
        <v>0</v>
      </c>
      <c r="Y45" s="112"/>
      <c r="Z45" s="112" t="s">
        <v>200</v>
      </c>
      <c r="AA45" s="114"/>
      <c r="AB45" s="113">
        <f t="shared" ref="AB45:AB46" si="29">IF(COUNTA(Y45,Z45)&gt;1,$Z$8,IF(Y45="X",$Y$8,IF(Z45="X",$Z$8)))</f>
        <v>0</v>
      </c>
      <c r="AC45" s="115">
        <f t="shared" ref="AC45:AC46" si="30">IF(AB45=FALSE,-1,T45+X45+AB45)</f>
        <v>3</v>
      </c>
      <c r="AD45" s="197">
        <f>ROUND(IF(AC46=-1,AC45,IF(AND(AC46&gt;=0,AC45&gt;=0),AVERAGE(AC45:AC46))),0)</f>
        <v>43</v>
      </c>
      <c r="AE45" s="198" t="str">
        <f t="shared" ref="AE45" si="31">IF(AND(AD45&lt;20,AD45&gt;=0),"CRITICA",IF(AND(AD45&lt;61,AD45&gt;=20),"BAJA",IF(AND(AD45&lt;91,AD45&gt;=61),"BUENA",IF(AND(AD45&lt;=100,AD45&gt;=91),"EXCELENTE",0))))</f>
        <v>BAJA</v>
      </c>
      <c r="AF45" s="59"/>
    </row>
    <row r="46" spans="2:42" ht="38.1" customHeight="1" x14ac:dyDescent="0.3">
      <c r="B46" s="217"/>
      <c r="C46" s="177"/>
      <c r="D46" s="105" t="s">
        <v>634</v>
      </c>
      <c r="E46" s="196"/>
      <c r="F46" s="106" t="s">
        <v>414</v>
      </c>
      <c r="G46" s="107" t="s">
        <v>403</v>
      </c>
      <c r="H46" s="107" t="s">
        <v>164</v>
      </c>
      <c r="I46" s="107" t="s">
        <v>139</v>
      </c>
      <c r="J46" s="108" t="s">
        <v>622</v>
      </c>
      <c r="K46" s="108" t="s">
        <v>622</v>
      </c>
      <c r="L46" s="108" t="s">
        <v>622</v>
      </c>
      <c r="M46" s="108" t="s">
        <v>622</v>
      </c>
      <c r="N46" s="109" t="s">
        <v>413</v>
      </c>
      <c r="O46" s="133" t="s">
        <v>215</v>
      </c>
      <c r="P46" s="107"/>
      <c r="Q46" s="110" t="s">
        <v>200</v>
      </c>
      <c r="R46" s="110"/>
      <c r="S46" s="110"/>
      <c r="T46" s="111">
        <f t="shared" si="27"/>
        <v>3</v>
      </c>
      <c r="U46" s="112"/>
      <c r="V46" s="112"/>
      <c r="W46" s="112" t="s">
        <v>200</v>
      </c>
      <c r="X46" s="113">
        <f t="shared" si="28"/>
        <v>20</v>
      </c>
      <c r="Y46" s="112" t="s">
        <v>200</v>
      </c>
      <c r="Z46" s="112"/>
      <c r="AA46" s="114"/>
      <c r="AB46" s="113">
        <f t="shared" si="29"/>
        <v>60</v>
      </c>
      <c r="AC46" s="115">
        <f t="shared" si="30"/>
        <v>83</v>
      </c>
      <c r="AD46" s="197"/>
      <c r="AE46" s="198"/>
      <c r="AF46" s="59"/>
    </row>
    <row r="47" spans="2:42" ht="38.1" customHeight="1" x14ac:dyDescent="0.3">
      <c r="P47" s="27"/>
      <c r="Q47" s="27"/>
      <c r="R47" s="27"/>
      <c r="S47" s="27"/>
      <c r="U47" s="27"/>
      <c r="V47" s="27"/>
      <c r="W47" s="27"/>
      <c r="AG47" s="26"/>
      <c r="AH47" s="26"/>
      <c r="AI47" s="26"/>
      <c r="AJ47" s="26"/>
      <c r="AK47" s="26"/>
      <c r="AL47" s="26"/>
      <c r="AM47" s="26"/>
      <c r="AN47" s="26"/>
      <c r="AO47" s="26"/>
      <c r="AP47" s="26"/>
    </row>
    <row r="48" spans="2:42" ht="38.1" customHeight="1" x14ac:dyDescent="0.3">
      <c r="P48" s="27"/>
      <c r="Q48" s="27"/>
      <c r="R48" s="27"/>
      <c r="S48" s="27"/>
      <c r="U48" s="27"/>
      <c r="V48" s="27"/>
      <c r="W48" s="27"/>
      <c r="AC48" s="164"/>
      <c r="AG48" s="26"/>
      <c r="AH48" s="26"/>
      <c r="AI48" s="26"/>
      <c r="AJ48" s="26"/>
      <c r="AK48" s="26"/>
      <c r="AL48" s="26"/>
      <c r="AM48" s="26"/>
      <c r="AN48" s="26"/>
      <c r="AO48" s="26"/>
      <c r="AP48" s="26"/>
    </row>
    <row r="49" spans="16:42" ht="38.1" customHeight="1" x14ac:dyDescent="0.3">
      <c r="P49" s="27"/>
      <c r="Q49" s="27"/>
      <c r="R49" s="27"/>
      <c r="S49" s="27"/>
      <c r="U49" s="27"/>
      <c r="V49" s="27"/>
      <c r="W49" s="27"/>
      <c r="AG49" s="26"/>
      <c r="AH49" s="26"/>
      <c r="AI49" s="26"/>
      <c r="AJ49" s="26"/>
      <c r="AK49" s="26"/>
      <c r="AL49" s="26"/>
      <c r="AM49" s="26"/>
      <c r="AN49" s="26"/>
      <c r="AO49" s="26"/>
      <c r="AP49" s="26"/>
    </row>
    <row r="50" spans="16:42" ht="38.1" customHeight="1" x14ac:dyDescent="0.3">
      <c r="P50" s="27"/>
      <c r="Q50" s="27"/>
      <c r="R50" s="27"/>
      <c r="S50" s="27"/>
      <c r="U50" s="27"/>
      <c r="V50" s="27"/>
      <c r="W50" s="27"/>
      <c r="AG50" s="26"/>
      <c r="AH50" s="26"/>
      <c r="AI50" s="26"/>
      <c r="AJ50" s="26"/>
      <c r="AK50" s="26"/>
      <c r="AL50" s="26"/>
      <c r="AM50" s="26"/>
      <c r="AN50" s="26"/>
      <c r="AO50" s="26"/>
      <c r="AP50" s="26"/>
    </row>
    <row r="51" spans="16:42" ht="38.1" customHeight="1" x14ac:dyDescent="0.3">
      <c r="P51" s="27"/>
      <c r="Q51" s="27"/>
      <c r="R51" s="27"/>
      <c r="S51" s="27"/>
      <c r="U51" s="27"/>
      <c r="V51" s="27"/>
      <c r="W51" s="27"/>
      <c r="AG51" s="26"/>
      <c r="AH51" s="26"/>
      <c r="AI51" s="26"/>
      <c r="AJ51" s="26"/>
      <c r="AK51" s="26"/>
      <c r="AL51" s="26"/>
      <c r="AM51" s="26"/>
      <c r="AN51" s="26"/>
      <c r="AO51" s="26"/>
      <c r="AP51" s="26"/>
    </row>
    <row r="52" spans="16:42" ht="38.1" customHeight="1" x14ac:dyDescent="0.3">
      <c r="P52" s="27"/>
      <c r="Q52" s="27"/>
      <c r="R52" s="27"/>
      <c r="S52" s="27"/>
      <c r="U52" s="27"/>
      <c r="V52" s="27"/>
      <c r="W52" s="27"/>
      <c r="AG52" s="26"/>
      <c r="AH52" s="26"/>
      <c r="AI52" s="26"/>
      <c r="AJ52" s="26"/>
      <c r="AK52" s="26"/>
      <c r="AL52" s="26"/>
      <c r="AM52" s="26"/>
      <c r="AN52" s="26"/>
      <c r="AO52" s="26"/>
      <c r="AP52" s="26"/>
    </row>
    <row r="53" spans="16:42" ht="38.1" customHeight="1" x14ac:dyDescent="0.3">
      <c r="P53" s="27"/>
      <c r="Q53" s="27"/>
      <c r="R53" s="27"/>
      <c r="S53" s="27"/>
      <c r="U53" s="27"/>
      <c r="V53" s="27"/>
      <c r="W53" s="27"/>
      <c r="AG53" s="26"/>
      <c r="AH53" s="26"/>
      <c r="AI53" s="26"/>
      <c r="AJ53" s="26"/>
      <c r="AK53" s="26"/>
      <c r="AL53" s="26"/>
      <c r="AM53" s="26"/>
      <c r="AN53" s="26"/>
      <c r="AO53" s="26"/>
      <c r="AP53" s="26"/>
    </row>
    <row r="54" spans="16:42" ht="38.1" customHeight="1" x14ac:dyDescent="0.3">
      <c r="P54" s="27"/>
      <c r="Q54" s="27"/>
      <c r="R54" s="27"/>
      <c r="S54" s="27"/>
      <c r="U54" s="27"/>
      <c r="V54" s="27"/>
      <c r="W54" s="27"/>
      <c r="AG54" s="26"/>
      <c r="AH54" s="26"/>
      <c r="AI54" s="26"/>
      <c r="AJ54" s="26"/>
      <c r="AK54" s="26"/>
      <c r="AL54" s="26"/>
      <c r="AM54" s="26"/>
      <c r="AN54" s="26"/>
      <c r="AO54" s="26"/>
      <c r="AP54" s="26"/>
    </row>
    <row r="55" spans="16:42" ht="38.1" customHeight="1" x14ac:dyDescent="0.3">
      <c r="P55" s="27"/>
      <c r="Q55" s="27"/>
      <c r="R55" s="27"/>
      <c r="S55" s="27"/>
      <c r="U55" s="27"/>
      <c r="V55" s="27"/>
      <c r="W55" s="27"/>
      <c r="AG55" s="26"/>
      <c r="AH55" s="26"/>
      <c r="AI55" s="26"/>
      <c r="AJ55" s="26"/>
      <c r="AK55" s="26"/>
      <c r="AL55" s="26"/>
      <c r="AM55" s="26"/>
      <c r="AN55" s="26"/>
      <c r="AO55" s="26"/>
      <c r="AP55" s="26"/>
    </row>
    <row r="56" spans="16:42" ht="38.1" customHeight="1" x14ac:dyDescent="0.3">
      <c r="P56" s="27"/>
      <c r="Q56" s="27"/>
      <c r="R56" s="27"/>
      <c r="S56" s="27"/>
      <c r="U56" s="27"/>
      <c r="V56" s="27"/>
      <c r="W56" s="27"/>
      <c r="AG56" s="26"/>
      <c r="AH56" s="26"/>
      <c r="AI56" s="26"/>
      <c r="AJ56" s="26"/>
      <c r="AK56" s="26"/>
      <c r="AL56" s="26"/>
      <c r="AM56" s="26"/>
      <c r="AN56" s="26"/>
      <c r="AO56" s="26"/>
      <c r="AP56" s="26"/>
    </row>
    <row r="57" spans="16:42" ht="38.1" customHeight="1" x14ac:dyDescent="0.3">
      <c r="P57" s="27"/>
      <c r="Q57" s="27"/>
      <c r="R57" s="27"/>
      <c r="S57" s="27"/>
      <c r="U57" s="27"/>
      <c r="V57" s="27"/>
      <c r="W57" s="27"/>
      <c r="AG57" s="26"/>
      <c r="AH57" s="26"/>
      <c r="AI57" s="26"/>
      <c r="AJ57" s="26"/>
      <c r="AK57" s="26"/>
      <c r="AL57" s="26"/>
      <c r="AM57" s="26"/>
      <c r="AN57" s="26"/>
      <c r="AO57" s="26"/>
      <c r="AP57" s="26"/>
    </row>
    <row r="58" spans="16:42" ht="38.1" customHeight="1" x14ac:dyDescent="0.3">
      <c r="P58" s="27"/>
      <c r="Q58" s="27"/>
      <c r="R58" s="27"/>
      <c r="S58" s="27"/>
      <c r="U58" s="27"/>
      <c r="V58" s="27"/>
      <c r="W58" s="27"/>
      <c r="AG58" s="26"/>
      <c r="AH58" s="26"/>
      <c r="AI58" s="26"/>
      <c r="AJ58" s="26"/>
      <c r="AK58" s="26"/>
      <c r="AL58" s="26"/>
      <c r="AM58" s="26"/>
      <c r="AN58" s="26"/>
      <c r="AO58" s="26"/>
      <c r="AP58" s="26"/>
    </row>
    <row r="59" spans="16:42" ht="38.1" customHeight="1" x14ac:dyDescent="0.3">
      <c r="P59" s="27"/>
      <c r="Q59" s="27"/>
      <c r="R59" s="27"/>
      <c r="S59" s="27"/>
      <c r="U59" s="27"/>
      <c r="V59" s="27"/>
      <c r="W59" s="27"/>
      <c r="AG59" s="26"/>
      <c r="AH59" s="26"/>
      <c r="AI59" s="26"/>
      <c r="AJ59" s="26"/>
      <c r="AK59" s="26"/>
      <c r="AL59" s="26"/>
      <c r="AM59" s="26"/>
      <c r="AN59" s="26"/>
      <c r="AO59" s="26"/>
      <c r="AP59" s="26"/>
    </row>
    <row r="60" spans="16:42" ht="38.1" customHeight="1" x14ac:dyDescent="0.3">
      <c r="P60" s="27"/>
      <c r="Q60" s="27"/>
      <c r="R60" s="27"/>
      <c r="S60" s="27"/>
      <c r="U60" s="27"/>
      <c r="V60" s="27"/>
      <c r="W60" s="27"/>
      <c r="AG60" s="26"/>
      <c r="AH60" s="26"/>
      <c r="AI60" s="26"/>
      <c r="AJ60" s="26"/>
      <c r="AK60" s="26"/>
      <c r="AL60" s="26"/>
      <c r="AM60" s="26"/>
      <c r="AN60" s="26"/>
      <c r="AO60" s="26"/>
      <c r="AP60" s="26"/>
    </row>
    <row r="61" spans="16:42" ht="38.1" customHeight="1" x14ac:dyDescent="0.3">
      <c r="P61" s="27"/>
      <c r="Q61" s="27"/>
      <c r="R61" s="27"/>
      <c r="S61" s="27"/>
      <c r="U61" s="27"/>
      <c r="V61" s="27"/>
      <c r="W61" s="27"/>
      <c r="AG61" s="26"/>
      <c r="AH61" s="26"/>
      <c r="AI61" s="26"/>
      <c r="AJ61" s="26"/>
      <c r="AK61" s="26"/>
      <c r="AL61" s="26"/>
      <c r="AM61" s="26"/>
      <c r="AN61" s="26"/>
      <c r="AO61" s="26"/>
      <c r="AP61" s="26"/>
    </row>
    <row r="62" spans="16:42" ht="38.1" customHeight="1" x14ac:dyDescent="0.3">
      <c r="P62" s="27"/>
      <c r="Q62" s="27"/>
      <c r="R62" s="27"/>
      <c r="S62" s="27"/>
      <c r="U62" s="27"/>
      <c r="V62" s="27"/>
      <c r="W62" s="27"/>
      <c r="AG62" s="26"/>
      <c r="AH62" s="26"/>
      <c r="AI62" s="26"/>
      <c r="AJ62" s="26"/>
      <c r="AK62" s="26"/>
      <c r="AL62" s="26"/>
      <c r="AM62" s="26"/>
      <c r="AN62" s="26"/>
      <c r="AO62" s="26"/>
      <c r="AP62" s="26"/>
    </row>
    <row r="63" spans="16:42" ht="38.1" customHeight="1" x14ac:dyDescent="0.3">
      <c r="P63" s="27"/>
      <c r="Q63" s="27"/>
      <c r="R63" s="27"/>
      <c r="S63" s="27"/>
      <c r="U63" s="27"/>
      <c r="V63" s="27"/>
      <c r="W63" s="27"/>
      <c r="AG63" s="26"/>
      <c r="AH63" s="26"/>
      <c r="AI63" s="26"/>
      <c r="AJ63" s="26"/>
      <c r="AK63" s="26"/>
      <c r="AL63" s="26"/>
      <c r="AM63" s="26"/>
      <c r="AN63" s="26"/>
      <c r="AO63" s="26"/>
      <c r="AP63" s="26"/>
    </row>
    <row r="64" spans="16:42" ht="38.1" customHeight="1" x14ac:dyDescent="0.3">
      <c r="P64" s="27"/>
      <c r="Q64" s="27"/>
      <c r="R64" s="27"/>
      <c r="S64" s="27"/>
      <c r="U64" s="27"/>
      <c r="V64" s="27"/>
      <c r="W64" s="27"/>
      <c r="AG64" s="26"/>
      <c r="AH64" s="26"/>
      <c r="AI64" s="26"/>
      <c r="AJ64" s="26"/>
      <c r="AK64" s="26"/>
      <c r="AL64" s="26"/>
      <c r="AM64" s="26"/>
      <c r="AN64" s="26"/>
      <c r="AO64" s="26"/>
      <c r="AP64" s="26"/>
    </row>
    <row r="65" spans="16:42" ht="38.1" customHeight="1" x14ac:dyDescent="0.3">
      <c r="P65" s="27"/>
      <c r="Q65" s="27"/>
      <c r="R65" s="27"/>
      <c r="S65" s="27"/>
      <c r="U65" s="27"/>
      <c r="V65" s="27"/>
      <c r="W65" s="27"/>
      <c r="AG65" s="26"/>
      <c r="AH65" s="26"/>
      <c r="AI65" s="26"/>
      <c r="AJ65" s="26"/>
      <c r="AK65" s="26"/>
      <c r="AL65" s="26"/>
      <c r="AM65" s="26"/>
      <c r="AN65" s="26"/>
      <c r="AO65" s="26"/>
      <c r="AP65" s="26"/>
    </row>
    <row r="66" spans="16:42" ht="38.1" customHeight="1" x14ac:dyDescent="0.3">
      <c r="P66" s="27"/>
      <c r="Q66" s="27"/>
      <c r="R66" s="27"/>
      <c r="S66" s="27"/>
      <c r="U66" s="27"/>
      <c r="V66" s="27"/>
      <c r="W66" s="27"/>
      <c r="AG66" s="26"/>
      <c r="AH66" s="26"/>
      <c r="AI66" s="26"/>
      <c r="AJ66" s="26"/>
      <c r="AK66" s="26"/>
      <c r="AL66" s="26"/>
      <c r="AM66" s="26"/>
      <c r="AN66" s="26"/>
      <c r="AO66" s="26"/>
      <c r="AP66" s="26"/>
    </row>
    <row r="67" spans="16:42" ht="38.1" customHeight="1" x14ac:dyDescent="0.3">
      <c r="P67" s="27"/>
      <c r="Q67" s="27"/>
      <c r="R67" s="27"/>
      <c r="S67" s="27"/>
      <c r="U67" s="27"/>
      <c r="V67" s="27"/>
      <c r="W67" s="27"/>
      <c r="AG67" s="26"/>
      <c r="AH67" s="26"/>
      <c r="AI67" s="26"/>
      <c r="AJ67" s="26"/>
      <c r="AK67" s="26"/>
      <c r="AL67" s="26"/>
      <c r="AM67" s="26"/>
      <c r="AN67" s="26"/>
      <c r="AO67" s="26"/>
      <c r="AP67" s="26"/>
    </row>
    <row r="68" spans="16:42" ht="38.1" customHeight="1" x14ac:dyDescent="0.3">
      <c r="P68" s="27"/>
      <c r="Q68" s="27"/>
      <c r="R68" s="27"/>
      <c r="S68" s="27"/>
      <c r="U68" s="27"/>
      <c r="V68" s="27"/>
      <c r="W68" s="27"/>
      <c r="AG68" s="26"/>
      <c r="AH68" s="26"/>
      <c r="AI68" s="26"/>
      <c r="AJ68" s="26"/>
      <c r="AK68" s="26"/>
      <c r="AL68" s="26"/>
      <c r="AM68" s="26"/>
      <c r="AN68" s="26"/>
      <c r="AO68" s="26"/>
      <c r="AP68" s="26"/>
    </row>
    <row r="69" spans="16:42" ht="38.1" customHeight="1" x14ac:dyDescent="0.3">
      <c r="P69" s="27"/>
      <c r="Q69" s="27"/>
      <c r="R69" s="27"/>
      <c r="S69" s="27"/>
      <c r="U69" s="27"/>
      <c r="V69" s="27"/>
      <c r="W69" s="27"/>
      <c r="AG69" s="26"/>
      <c r="AH69" s="26"/>
      <c r="AI69" s="26"/>
      <c r="AJ69" s="26"/>
      <c r="AK69" s="26"/>
      <c r="AL69" s="26"/>
      <c r="AM69" s="26"/>
      <c r="AN69" s="26"/>
      <c r="AO69" s="26"/>
      <c r="AP69" s="26"/>
    </row>
    <row r="70" spans="16:42" ht="38.1" customHeight="1" x14ac:dyDescent="0.3">
      <c r="P70" s="27"/>
      <c r="Q70" s="27"/>
      <c r="R70" s="27"/>
      <c r="S70" s="27"/>
      <c r="U70" s="27"/>
      <c r="V70" s="27"/>
      <c r="W70" s="27"/>
      <c r="AG70" s="26"/>
      <c r="AH70" s="26"/>
      <c r="AI70" s="26"/>
      <c r="AJ70" s="26"/>
      <c r="AK70" s="26"/>
      <c r="AL70" s="26"/>
      <c r="AM70" s="26"/>
      <c r="AN70" s="26"/>
      <c r="AO70" s="26"/>
      <c r="AP70" s="26"/>
    </row>
    <row r="71" spans="16:42" ht="38.1" customHeight="1" x14ac:dyDescent="0.3">
      <c r="P71" s="27"/>
      <c r="Q71" s="27"/>
      <c r="R71" s="27"/>
      <c r="S71" s="27"/>
      <c r="U71" s="27"/>
      <c r="V71" s="27"/>
      <c r="W71" s="27"/>
      <c r="AG71" s="26"/>
      <c r="AH71" s="26"/>
      <c r="AI71" s="26"/>
      <c r="AJ71" s="26"/>
      <c r="AK71" s="26"/>
      <c r="AL71" s="26"/>
      <c r="AM71" s="26"/>
      <c r="AN71" s="26"/>
      <c r="AO71" s="26"/>
      <c r="AP71" s="26"/>
    </row>
    <row r="72" spans="16:42" ht="38.1" customHeight="1" x14ac:dyDescent="0.3">
      <c r="P72" s="27"/>
      <c r="Q72" s="27"/>
      <c r="R72" s="27"/>
      <c r="S72" s="27"/>
      <c r="U72" s="27"/>
      <c r="V72" s="27"/>
      <c r="W72" s="27"/>
      <c r="AG72" s="26"/>
      <c r="AH72" s="26"/>
      <c r="AI72" s="26"/>
      <c r="AJ72" s="26"/>
      <c r="AK72" s="26"/>
      <c r="AL72" s="26"/>
      <c r="AM72" s="26"/>
      <c r="AN72" s="26"/>
      <c r="AO72" s="26"/>
      <c r="AP72" s="26"/>
    </row>
    <row r="73" spans="16:42" ht="38.1" customHeight="1" x14ac:dyDescent="0.3">
      <c r="P73" s="27"/>
      <c r="Q73" s="27"/>
      <c r="R73" s="27"/>
      <c r="S73" s="27"/>
      <c r="U73" s="27"/>
      <c r="V73" s="27"/>
      <c r="W73" s="27"/>
      <c r="AG73" s="26"/>
      <c r="AH73" s="26"/>
      <c r="AI73" s="26"/>
      <c r="AJ73" s="26"/>
      <c r="AK73" s="26"/>
      <c r="AL73" s="26"/>
      <c r="AM73" s="26"/>
      <c r="AN73" s="26"/>
      <c r="AO73" s="26"/>
      <c r="AP73" s="26"/>
    </row>
    <row r="74" spans="16:42" ht="38.1" customHeight="1" x14ac:dyDescent="0.3">
      <c r="P74" s="27"/>
      <c r="Q74" s="27"/>
      <c r="R74" s="27"/>
      <c r="S74" s="27"/>
      <c r="U74" s="27"/>
      <c r="V74" s="27"/>
      <c r="W74" s="27"/>
      <c r="AG74" s="26"/>
      <c r="AH74" s="26"/>
      <c r="AI74" s="26"/>
      <c r="AJ74" s="26"/>
      <c r="AK74" s="26"/>
      <c r="AL74" s="26"/>
      <c r="AM74" s="26"/>
      <c r="AN74" s="26"/>
      <c r="AO74" s="26"/>
      <c r="AP74" s="26"/>
    </row>
    <row r="75" spans="16:42" ht="38.1" customHeight="1" x14ac:dyDescent="0.3">
      <c r="P75" s="27"/>
      <c r="Q75" s="27"/>
      <c r="R75" s="27"/>
      <c r="S75" s="27"/>
      <c r="U75" s="27"/>
      <c r="V75" s="27"/>
      <c r="W75" s="27"/>
      <c r="AG75" s="26"/>
      <c r="AH75" s="26"/>
      <c r="AI75" s="26"/>
      <c r="AJ75" s="26"/>
      <c r="AK75" s="26"/>
      <c r="AL75" s="26"/>
      <c r="AM75" s="26"/>
      <c r="AN75" s="26"/>
      <c r="AO75" s="26"/>
      <c r="AP75" s="26"/>
    </row>
    <row r="76" spans="16:42" ht="38.1" customHeight="1" x14ac:dyDescent="0.3">
      <c r="P76" s="27"/>
      <c r="Q76" s="27"/>
      <c r="R76" s="27"/>
      <c r="S76" s="27"/>
      <c r="U76" s="27"/>
      <c r="V76" s="27"/>
      <c r="W76" s="27"/>
      <c r="AG76" s="26"/>
      <c r="AH76" s="26"/>
      <c r="AI76" s="26"/>
      <c r="AJ76" s="26"/>
      <c r="AK76" s="26"/>
      <c r="AL76" s="26"/>
      <c r="AM76" s="26"/>
      <c r="AN76" s="26"/>
      <c r="AO76" s="26"/>
      <c r="AP76" s="26"/>
    </row>
    <row r="77" spans="16:42" ht="38.1" customHeight="1" x14ac:dyDescent="0.3">
      <c r="P77" s="27"/>
      <c r="Q77" s="27"/>
      <c r="R77" s="27"/>
      <c r="S77" s="27"/>
      <c r="U77" s="27"/>
      <c r="V77" s="27"/>
      <c r="W77" s="27"/>
      <c r="AG77" s="26"/>
      <c r="AH77" s="26"/>
      <c r="AI77" s="26"/>
      <c r="AJ77" s="26"/>
      <c r="AK77" s="26"/>
      <c r="AL77" s="26"/>
      <c r="AM77" s="26"/>
      <c r="AN77" s="26"/>
      <c r="AO77" s="26"/>
      <c r="AP77" s="26"/>
    </row>
    <row r="78" spans="16:42" ht="38.1" customHeight="1" x14ac:dyDescent="0.3">
      <c r="P78" s="27"/>
      <c r="Q78" s="27"/>
      <c r="R78" s="27"/>
      <c r="S78" s="27"/>
      <c r="U78" s="27"/>
      <c r="V78" s="27"/>
      <c r="W78" s="27"/>
      <c r="AG78" s="26"/>
      <c r="AH78" s="26"/>
      <c r="AI78" s="26"/>
      <c r="AJ78" s="26"/>
      <c r="AK78" s="26"/>
      <c r="AL78" s="26"/>
      <c r="AM78" s="26"/>
      <c r="AN78" s="26"/>
      <c r="AO78" s="26"/>
      <c r="AP78" s="26"/>
    </row>
    <row r="79" spans="16:42" ht="38.1" customHeight="1" x14ac:dyDescent="0.3">
      <c r="P79" s="27"/>
      <c r="Q79" s="27"/>
      <c r="R79" s="27"/>
      <c r="S79" s="27"/>
      <c r="U79" s="27"/>
      <c r="V79" s="27"/>
      <c r="W79" s="27"/>
      <c r="AG79" s="26"/>
      <c r="AH79" s="26"/>
      <c r="AI79" s="26"/>
      <c r="AJ79" s="26"/>
      <c r="AK79" s="26"/>
      <c r="AL79" s="26"/>
      <c r="AM79" s="26"/>
      <c r="AN79" s="26"/>
      <c r="AO79" s="26"/>
      <c r="AP79" s="26"/>
    </row>
    <row r="80" spans="16:42" ht="38.1" customHeight="1" x14ac:dyDescent="0.3">
      <c r="P80" s="27"/>
      <c r="Q80" s="27"/>
      <c r="R80" s="27"/>
      <c r="S80" s="27"/>
      <c r="U80" s="27"/>
      <c r="V80" s="27"/>
      <c r="W80" s="27"/>
      <c r="AG80" s="26"/>
      <c r="AH80" s="26"/>
      <c r="AI80" s="26"/>
      <c r="AJ80" s="26"/>
      <c r="AK80" s="26"/>
      <c r="AL80" s="26"/>
      <c r="AM80" s="26"/>
      <c r="AN80" s="26"/>
      <c r="AO80" s="26"/>
      <c r="AP80" s="26"/>
    </row>
    <row r="81" spans="5:42" ht="38.1" customHeight="1" x14ac:dyDescent="0.3">
      <c r="P81" s="27"/>
      <c r="Q81" s="27"/>
      <c r="R81" s="27"/>
      <c r="S81" s="27"/>
      <c r="U81" s="27"/>
      <c r="V81" s="27"/>
      <c r="W81" s="27"/>
      <c r="AG81" s="26"/>
      <c r="AH81" s="26"/>
      <c r="AI81" s="26"/>
      <c r="AJ81" s="26"/>
      <c r="AK81" s="26"/>
      <c r="AL81" s="26"/>
      <c r="AM81" s="26"/>
      <c r="AN81" s="26"/>
      <c r="AO81" s="26"/>
      <c r="AP81" s="26"/>
    </row>
    <row r="82" spans="5:42" ht="38.1" customHeight="1" x14ac:dyDescent="0.3">
      <c r="P82" s="27"/>
      <c r="Q82" s="27"/>
      <c r="R82" s="27"/>
      <c r="S82" s="27"/>
      <c r="U82" s="27"/>
      <c r="V82" s="27"/>
      <c r="W82" s="27"/>
      <c r="AG82" s="26"/>
      <c r="AH82" s="26"/>
      <c r="AI82" s="26"/>
      <c r="AJ82" s="26"/>
      <c r="AK82" s="26"/>
      <c r="AL82" s="26"/>
      <c r="AM82" s="26"/>
      <c r="AN82" s="26"/>
      <c r="AO82" s="26"/>
      <c r="AP82" s="26"/>
    </row>
    <row r="83" spans="5:42" ht="38.1" customHeight="1" x14ac:dyDescent="0.3">
      <c r="P83" s="27"/>
      <c r="Q83" s="27"/>
      <c r="R83" s="27"/>
      <c r="S83" s="27"/>
      <c r="U83" s="27"/>
      <c r="V83" s="27"/>
      <c r="W83" s="27"/>
      <c r="AG83" s="26"/>
      <c r="AH83" s="26"/>
      <c r="AI83" s="26"/>
      <c r="AJ83" s="26"/>
      <c r="AK83" s="26"/>
      <c r="AL83" s="26"/>
      <c r="AM83" s="26"/>
      <c r="AN83" s="26"/>
      <c r="AO83" s="26"/>
      <c r="AP83" s="26"/>
    </row>
    <row r="84" spans="5:42" ht="38.1" customHeight="1" x14ac:dyDescent="0.3">
      <c r="P84" s="27"/>
      <c r="Q84" s="27"/>
      <c r="R84" s="27"/>
      <c r="S84" s="27"/>
      <c r="U84" s="27"/>
      <c r="V84" s="27"/>
      <c r="W84" s="27"/>
      <c r="AG84" s="26"/>
      <c r="AH84" s="26"/>
      <c r="AI84" s="26"/>
      <c r="AJ84" s="26"/>
      <c r="AK84" s="26"/>
      <c r="AL84" s="26"/>
      <c r="AM84" s="26"/>
      <c r="AN84" s="26"/>
      <c r="AO84" s="26"/>
      <c r="AP84" s="26"/>
    </row>
    <row r="85" spans="5:42" ht="38.1" customHeight="1" x14ac:dyDescent="0.3">
      <c r="P85" s="27"/>
      <c r="Q85" s="27"/>
      <c r="R85" s="27"/>
      <c r="S85" s="27"/>
      <c r="U85" s="27"/>
      <c r="V85" s="27"/>
      <c r="W85" s="27"/>
      <c r="AG85" s="26"/>
      <c r="AH85" s="26"/>
      <c r="AI85" s="26"/>
      <c r="AJ85" s="26"/>
      <c r="AK85" s="26"/>
      <c r="AL85" s="26"/>
      <c r="AM85" s="26"/>
      <c r="AN85" s="26"/>
      <c r="AO85" s="26"/>
      <c r="AP85" s="26"/>
    </row>
    <row r="86" spans="5:42" ht="38.1" customHeight="1" x14ac:dyDescent="0.3">
      <c r="E86" s="25"/>
      <c r="P86" s="27"/>
      <c r="Q86" s="27"/>
      <c r="R86" s="27"/>
      <c r="S86" s="27"/>
      <c r="U86" s="27"/>
      <c r="V86" s="27"/>
      <c r="W86" s="27"/>
      <c r="AG86" s="26"/>
      <c r="AH86" s="26"/>
      <c r="AI86" s="26"/>
      <c r="AJ86" s="26"/>
      <c r="AK86" s="26"/>
      <c r="AL86" s="26"/>
      <c r="AM86" s="26"/>
      <c r="AN86" s="26"/>
      <c r="AO86" s="26"/>
      <c r="AP86" s="26"/>
    </row>
    <row r="87" spans="5:42" ht="38.1" customHeight="1" x14ac:dyDescent="0.3">
      <c r="E87" s="25"/>
      <c r="P87" s="27"/>
      <c r="Q87" s="27"/>
      <c r="R87" s="27"/>
      <c r="S87" s="27"/>
      <c r="U87" s="27"/>
      <c r="V87" s="27"/>
      <c r="W87" s="27"/>
      <c r="AG87" s="26"/>
      <c r="AH87" s="26"/>
      <c r="AI87" s="26"/>
      <c r="AJ87" s="26"/>
      <c r="AK87" s="26"/>
      <c r="AL87" s="26"/>
      <c r="AM87" s="26"/>
      <c r="AN87" s="26"/>
      <c r="AO87" s="26"/>
      <c r="AP87" s="26"/>
    </row>
    <row r="88" spans="5:42" ht="38.1" customHeight="1" x14ac:dyDescent="0.3">
      <c r="E88" s="25"/>
      <c r="P88" s="27"/>
      <c r="Q88" s="27"/>
      <c r="R88" s="27"/>
      <c r="S88" s="27"/>
      <c r="U88" s="27"/>
      <c r="V88" s="27"/>
      <c r="W88" s="27"/>
      <c r="AG88" s="26"/>
      <c r="AH88" s="26"/>
      <c r="AI88" s="26"/>
      <c r="AJ88" s="26"/>
      <c r="AK88" s="26"/>
      <c r="AL88" s="26"/>
      <c r="AM88" s="26"/>
      <c r="AN88" s="26"/>
      <c r="AO88" s="26"/>
      <c r="AP88" s="26"/>
    </row>
    <row r="89" spans="5:42" ht="38.1" customHeight="1" x14ac:dyDescent="0.3">
      <c r="E89" s="25"/>
      <c r="P89" s="27"/>
      <c r="Q89" s="27"/>
      <c r="R89" s="27"/>
      <c r="S89" s="27"/>
      <c r="U89" s="27"/>
      <c r="V89" s="27"/>
      <c r="W89" s="27"/>
      <c r="AG89" s="26"/>
      <c r="AH89" s="26"/>
      <c r="AI89" s="26"/>
      <c r="AJ89" s="26"/>
      <c r="AK89" s="26"/>
      <c r="AL89" s="26"/>
      <c r="AM89" s="26"/>
      <c r="AN89" s="26"/>
      <c r="AO89" s="26"/>
      <c r="AP89" s="26"/>
    </row>
    <row r="90" spans="5:42" ht="38.1" customHeight="1" x14ac:dyDescent="0.3">
      <c r="E90" s="25"/>
      <c r="P90" s="27"/>
      <c r="Q90" s="27"/>
      <c r="R90" s="27"/>
      <c r="S90" s="27"/>
      <c r="U90" s="27"/>
      <c r="V90" s="27"/>
      <c r="W90" s="27"/>
      <c r="AG90" s="26"/>
      <c r="AH90" s="26"/>
      <c r="AI90" s="26"/>
      <c r="AJ90" s="26"/>
      <c r="AK90" s="26"/>
      <c r="AL90" s="26"/>
      <c r="AM90" s="26"/>
      <c r="AN90" s="26"/>
      <c r="AO90" s="26"/>
      <c r="AP90" s="26"/>
    </row>
    <row r="91" spans="5:42" ht="38.1" customHeight="1" x14ac:dyDescent="0.3">
      <c r="E91" s="25"/>
      <c r="P91" s="27"/>
      <c r="Q91" s="27"/>
      <c r="R91" s="27"/>
      <c r="S91" s="27"/>
      <c r="U91" s="27"/>
      <c r="V91" s="27"/>
      <c r="W91" s="27"/>
      <c r="AG91" s="26"/>
      <c r="AH91" s="26"/>
      <c r="AI91" s="26"/>
      <c r="AJ91" s="26"/>
      <c r="AK91" s="26"/>
      <c r="AL91" s="26"/>
      <c r="AM91" s="26"/>
      <c r="AN91" s="26"/>
      <c r="AO91" s="26"/>
      <c r="AP91" s="26"/>
    </row>
    <row r="92" spans="5:42" ht="38.1" customHeight="1" x14ac:dyDescent="0.3">
      <c r="E92" s="25"/>
      <c r="P92" s="27"/>
      <c r="Q92" s="27"/>
      <c r="R92" s="27"/>
      <c r="S92" s="27"/>
      <c r="U92" s="27"/>
      <c r="V92" s="27"/>
      <c r="W92" s="27"/>
      <c r="AL92" s="26"/>
    </row>
    <row r="93" spans="5:42" ht="38.1" customHeight="1" x14ac:dyDescent="0.3">
      <c r="E93" s="25"/>
      <c r="P93" s="27"/>
      <c r="Q93" s="27"/>
      <c r="R93" s="27"/>
      <c r="S93" s="27"/>
      <c r="U93" s="27"/>
      <c r="V93" s="27"/>
      <c r="W93" s="27"/>
    </row>
    <row r="94" spans="5:42" ht="38.1" customHeight="1" x14ac:dyDescent="0.3">
      <c r="E94" s="25"/>
      <c r="P94" s="27"/>
      <c r="Q94" s="27"/>
      <c r="R94" s="27"/>
      <c r="S94" s="27"/>
      <c r="U94" s="27"/>
      <c r="V94" s="27"/>
      <c r="W94" s="27"/>
    </row>
    <row r="95" spans="5:42" ht="38.1" customHeight="1" x14ac:dyDescent="0.3">
      <c r="E95" s="25"/>
      <c r="P95" s="27"/>
      <c r="Q95" s="27"/>
      <c r="R95" s="27"/>
      <c r="S95" s="27"/>
      <c r="U95" s="27"/>
      <c r="V95" s="27"/>
      <c r="W95" s="27"/>
    </row>
    <row r="96" spans="5:42" ht="38.1" customHeight="1" x14ac:dyDescent="0.3">
      <c r="E96" s="25"/>
      <c r="P96" s="27"/>
      <c r="Q96" s="27"/>
      <c r="R96" s="27"/>
      <c r="S96" s="27"/>
      <c r="U96" s="27"/>
      <c r="V96" s="27"/>
      <c r="W96" s="27"/>
    </row>
    <row r="97" spans="5:23" ht="38.1" customHeight="1" x14ac:dyDescent="0.3">
      <c r="E97" s="25"/>
      <c r="P97" s="27"/>
      <c r="Q97" s="27"/>
      <c r="R97" s="27"/>
      <c r="S97" s="27"/>
      <c r="U97" s="27"/>
      <c r="V97" s="27"/>
      <c r="W97" s="27"/>
    </row>
    <row r="98" spans="5:23" ht="38.1" customHeight="1" x14ac:dyDescent="0.3">
      <c r="E98" s="25"/>
      <c r="P98" s="27"/>
      <c r="Q98" s="27"/>
      <c r="R98" s="27"/>
      <c r="S98" s="27"/>
      <c r="U98" s="27"/>
      <c r="V98" s="27"/>
      <c r="W98" s="27"/>
    </row>
    <row r="99" spans="5:23" ht="38.1" customHeight="1" x14ac:dyDescent="0.3">
      <c r="E99" s="25"/>
      <c r="P99" s="27"/>
      <c r="Q99" s="27"/>
      <c r="R99" s="27"/>
      <c r="S99" s="27"/>
      <c r="U99" s="27"/>
      <c r="V99" s="27"/>
      <c r="W99" s="27"/>
    </row>
    <row r="100" spans="5:23" ht="38.1" customHeight="1" x14ac:dyDescent="0.3">
      <c r="E100" s="25"/>
      <c r="P100" s="27"/>
      <c r="Q100" s="27"/>
      <c r="R100" s="27"/>
      <c r="S100" s="27"/>
      <c r="U100" s="27"/>
      <c r="V100" s="27"/>
      <c r="W100" s="27"/>
    </row>
    <row r="101" spans="5:23" ht="38.1" customHeight="1" x14ac:dyDescent="0.3">
      <c r="E101" s="25"/>
      <c r="P101" s="27"/>
      <c r="Q101" s="27"/>
      <c r="R101" s="27"/>
      <c r="S101" s="27"/>
      <c r="U101" s="27"/>
      <c r="V101" s="27"/>
      <c r="W101" s="27"/>
    </row>
    <row r="102" spans="5:23" ht="38.1" customHeight="1" x14ac:dyDescent="0.3">
      <c r="E102" s="25"/>
      <c r="P102" s="27"/>
      <c r="Q102" s="27"/>
      <c r="R102" s="27"/>
      <c r="S102" s="27"/>
      <c r="U102" s="27"/>
      <c r="V102" s="27"/>
      <c r="W102" s="27"/>
    </row>
    <row r="103" spans="5:23" ht="38.1" customHeight="1" x14ac:dyDescent="0.3">
      <c r="E103" s="25"/>
      <c r="P103" s="27"/>
      <c r="Q103" s="27"/>
      <c r="R103" s="27"/>
      <c r="S103" s="27"/>
      <c r="U103" s="27"/>
      <c r="V103" s="27"/>
      <c r="W103" s="27"/>
    </row>
    <row r="104" spans="5:23" ht="38.1" customHeight="1" x14ac:dyDescent="0.3">
      <c r="E104" s="25"/>
      <c r="F104" s="25"/>
      <c r="H104" s="25"/>
      <c r="I104" s="25"/>
      <c r="J104" s="25"/>
      <c r="K104" s="25"/>
      <c r="L104" s="25"/>
      <c r="M104" s="25"/>
      <c r="N104" s="25"/>
      <c r="P104" s="27"/>
      <c r="Q104" s="27"/>
      <c r="R104" s="27"/>
      <c r="S104" s="27"/>
      <c r="U104" s="27"/>
      <c r="V104" s="27"/>
      <c r="W104" s="27"/>
    </row>
    <row r="105" spans="5:23" ht="38.1" customHeight="1" x14ac:dyDescent="0.3">
      <c r="E105" s="25"/>
      <c r="F105" s="25"/>
      <c r="H105" s="25"/>
      <c r="I105" s="25"/>
      <c r="J105" s="25"/>
      <c r="K105" s="25"/>
      <c r="L105" s="25"/>
      <c r="M105" s="25"/>
      <c r="N105" s="25"/>
      <c r="P105" s="27"/>
      <c r="Q105" s="27"/>
      <c r="R105" s="27"/>
      <c r="S105" s="27"/>
      <c r="U105" s="27"/>
      <c r="V105" s="27"/>
      <c r="W105" s="27"/>
    </row>
    <row r="106" spans="5:23" ht="38.1" customHeight="1" x14ac:dyDescent="0.3">
      <c r="E106" s="25"/>
      <c r="F106" s="25"/>
      <c r="H106" s="25"/>
      <c r="I106" s="25"/>
      <c r="J106" s="25"/>
      <c r="K106" s="25"/>
      <c r="L106" s="25"/>
      <c r="M106" s="25"/>
      <c r="N106" s="25"/>
      <c r="P106" s="27"/>
      <c r="Q106" s="27"/>
      <c r="R106" s="27"/>
      <c r="S106" s="27"/>
      <c r="U106" s="27"/>
      <c r="V106" s="27"/>
      <c r="W106" s="27"/>
    </row>
    <row r="107" spans="5:23" ht="38.1" customHeight="1" x14ac:dyDescent="0.3">
      <c r="E107" s="25"/>
      <c r="F107" s="25"/>
      <c r="H107" s="25"/>
      <c r="I107" s="25"/>
      <c r="J107" s="25"/>
      <c r="K107" s="25"/>
      <c r="L107" s="25"/>
      <c r="M107" s="25"/>
      <c r="N107" s="25"/>
      <c r="P107" s="27"/>
      <c r="Q107" s="27"/>
      <c r="R107" s="27"/>
      <c r="S107" s="27"/>
      <c r="U107" s="27"/>
      <c r="V107" s="27"/>
      <c r="W107" s="27"/>
    </row>
    <row r="108" spans="5:23" ht="38.1" customHeight="1" x14ac:dyDescent="0.3">
      <c r="E108" s="25"/>
      <c r="F108" s="25"/>
      <c r="H108" s="25"/>
      <c r="I108" s="25"/>
      <c r="J108" s="25"/>
      <c r="K108" s="25"/>
      <c r="L108" s="25"/>
      <c r="M108" s="25"/>
      <c r="N108" s="25"/>
      <c r="P108" s="27"/>
      <c r="Q108" s="27"/>
      <c r="R108" s="27"/>
      <c r="S108" s="27"/>
      <c r="U108" s="27"/>
      <c r="V108" s="27"/>
      <c r="W108" s="27"/>
    </row>
    <row r="109" spans="5:23" ht="38.1" customHeight="1" x14ac:dyDescent="0.3">
      <c r="E109" s="25"/>
      <c r="F109" s="25"/>
      <c r="H109" s="25"/>
      <c r="I109" s="25"/>
      <c r="J109" s="25"/>
      <c r="K109" s="25"/>
      <c r="L109" s="25"/>
      <c r="M109" s="25"/>
      <c r="N109" s="25"/>
      <c r="P109" s="27"/>
      <c r="Q109" s="27"/>
      <c r="R109" s="27"/>
      <c r="S109" s="27"/>
      <c r="U109" s="27"/>
      <c r="V109" s="27"/>
      <c r="W109" s="27"/>
    </row>
    <row r="110" spans="5:23" ht="38.1" customHeight="1" x14ac:dyDescent="0.3">
      <c r="E110" s="25"/>
      <c r="F110" s="25"/>
      <c r="H110" s="25"/>
      <c r="I110" s="25"/>
      <c r="J110" s="25"/>
      <c r="K110" s="25"/>
      <c r="L110" s="25"/>
      <c r="M110" s="25"/>
      <c r="N110" s="25"/>
      <c r="P110" s="27"/>
      <c r="Q110" s="27"/>
      <c r="R110" s="27"/>
      <c r="S110" s="27"/>
      <c r="U110" s="27"/>
      <c r="V110" s="27"/>
      <c r="W110" s="27"/>
    </row>
    <row r="111" spans="5:23" ht="38.1" customHeight="1" x14ac:dyDescent="0.3">
      <c r="E111" s="25"/>
      <c r="F111" s="25"/>
      <c r="H111" s="25"/>
      <c r="I111" s="25"/>
      <c r="J111" s="25"/>
      <c r="K111" s="25"/>
      <c r="L111" s="25"/>
      <c r="M111" s="25"/>
      <c r="N111" s="25"/>
      <c r="P111" s="27"/>
      <c r="Q111" s="27"/>
      <c r="R111" s="27"/>
      <c r="S111" s="27"/>
      <c r="U111" s="27"/>
      <c r="V111" s="27"/>
      <c r="W111" s="27"/>
    </row>
    <row r="112" spans="5:23" ht="38.1" customHeight="1" x14ac:dyDescent="0.3">
      <c r="E112" s="25"/>
      <c r="F112" s="25"/>
      <c r="H112" s="25"/>
      <c r="I112" s="25"/>
      <c r="J112" s="25"/>
      <c r="K112" s="25"/>
      <c r="L112" s="25"/>
      <c r="M112" s="25"/>
      <c r="N112" s="25"/>
      <c r="P112" s="27"/>
      <c r="Q112" s="27"/>
      <c r="R112" s="27"/>
      <c r="S112" s="27"/>
      <c r="U112" s="27"/>
      <c r="V112" s="27"/>
      <c r="W112" s="27"/>
    </row>
    <row r="113" spans="5:23" ht="38.1" customHeight="1" x14ac:dyDescent="0.3">
      <c r="E113" s="25"/>
      <c r="F113" s="25"/>
      <c r="H113" s="25"/>
      <c r="I113" s="25"/>
      <c r="J113" s="25"/>
      <c r="K113" s="25"/>
      <c r="L113" s="25"/>
      <c r="M113" s="25"/>
      <c r="N113" s="25"/>
      <c r="P113" s="27"/>
      <c r="Q113" s="27"/>
      <c r="R113" s="27"/>
      <c r="S113" s="27"/>
      <c r="U113" s="27"/>
      <c r="V113" s="27"/>
      <c r="W113" s="27"/>
    </row>
    <row r="114" spans="5:23" ht="38.1" customHeight="1" x14ac:dyDescent="0.3">
      <c r="E114" s="25"/>
      <c r="F114" s="25"/>
      <c r="H114" s="25"/>
      <c r="I114" s="25"/>
      <c r="J114" s="25"/>
      <c r="K114" s="25"/>
      <c r="L114" s="25"/>
      <c r="M114" s="25"/>
      <c r="N114" s="25"/>
      <c r="P114" s="27"/>
      <c r="Q114" s="27"/>
      <c r="R114" s="27"/>
      <c r="S114" s="27"/>
      <c r="U114" s="27"/>
      <c r="V114" s="27"/>
      <c r="W114" s="27"/>
    </row>
    <row r="115" spans="5:23" ht="38.1" customHeight="1" x14ac:dyDescent="0.3">
      <c r="E115" s="25"/>
      <c r="F115" s="25"/>
      <c r="H115" s="25"/>
      <c r="I115" s="25"/>
      <c r="J115" s="25"/>
      <c r="K115" s="25"/>
      <c r="L115" s="25"/>
      <c r="M115" s="25"/>
      <c r="N115" s="25"/>
      <c r="P115" s="27"/>
      <c r="Q115" s="27"/>
      <c r="R115" s="27"/>
      <c r="S115" s="27"/>
      <c r="U115" s="27"/>
      <c r="V115" s="27"/>
      <c r="W115" s="27"/>
    </row>
    <row r="116" spans="5:23" ht="38.1" customHeight="1" x14ac:dyDescent="0.3">
      <c r="E116" s="25"/>
      <c r="F116" s="25"/>
      <c r="H116" s="25"/>
      <c r="I116" s="25"/>
      <c r="J116" s="25"/>
      <c r="K116" s="25"/>
      <c r="L116" s="25"/>
      <c r="M116" s="25"/>
      <c r="N116" s="25"/>
      <c r="P116" s="27"/>
      <c r="Q116" s="27"/>
      <c r="R116" s="27"/>
      <c r="S116" s="27"/>
      <c r="U116" s="27"/>
      <c r="V116" s="27"/>
      <c r="W116" s="27"/>
    </row>
    <row r="117" spans="5:23" ht="38.1" customHeight="1" x14ac:dyDescent="0.3">
      <c r="E117" s="25"/>
      <c r="F117" s="25"/>
      <c r="H117" s="25"/>
      <c r="I117" s="25"/>
      <c r="J117" s="25"/>
      <c r="K117" s="25"/>
      <c r="L117" s="25"/>
      <c r="M117" s="25"/>
      <c r="N117" s="25"/>
      <c r="P117" s="27"/>
      <c r="Q117" s="27"/>
      <c r="R117" s="27"/>
      <c r="S117" s="27"/>
      <c r="U117" s="27"/>
      <c r="V117" s="27"/>
      <c r="W117" s="27"/>
    </row>
    <row r="118" spans="5:23" ht="38.1" customHeight="1" x14ac:dyDescent="0.3">
      <c r="E118" s="25"/>
      <c r="F118" s="25"/>
      <c r="H118" s="25"/>
      <c r="I118" s="25"/>
      <c r="J118" s="25"/>
      <c r="K118" s="25"/>
      <c r="L118" s="25"/>
      <c r="M118" s="25"/>
      <c r="N118" s="25"/>
      <c r="P118" s="27"/>
      <c r="Q118" s="27"/>
      <c r="R118" s="27"/>
      <c r="S118" s="27"/>
      <c r="U118" s="27"/>
      <c r="V118" s="27"/>
      <c r="W118" s="27"/>
    </row>
    <row r="119" spans="5:23" ht="38.1" customHeight="1" x14ac:dyDescent="0.3">
      <c r="E119" s="25"/>
      <c r="F119" s="25"/>
      <c r="H119" s="25"/>
      <c r="I119" s="25"/>
      <c r="J119" s="25"/>
      <c r="K119" s="25"/>
      <c r="L119" s="25"/>
      <c r="M119" s="25"/>
      <c r="N119" s="25"/>
      <c r="P119" s="27"/>
      <c r="Q119" s="27"/>
      <c r="R119" s="27"/>
      <c r="S119" s="27"/>
      <c r="U119" s="27"/>
      <c r="V119" s="27"/>
      <c r="W119" s="27"/>
    </row>
    <row r="120" spans="5:23" ht="38.1" customHeight="1" x14ac:dyDescent="0.3">
      <c r="E120" s="25"/>
      <c r="F120" s="25"/>
      <c r="H120" s="25"/>
      <c r="I120" s="25"/>
      <c r="J120" s="25"/>
      <c r="K120" s="25"/>
      <c r="L120" s="25"/>
      <c r="M120" s="25"/>
      <c r="N120" s="25"/>
      <c r="P120" s="27"/>
      <c r="Q120" s="27"/>
      <c r="R120" s="27"/>
      <c r="S120" s="27"/>
      <c r="U120" s="27"/>
      <c r="V120" s="27"/>
      <c r="W120" s="27"/>
    </row>
    <row r="121" spans="5:23" ht="38.1" customHeight="1" x14ac:dyDescent="0.3">
      <c r="E121" s="25"/>
      <c r="F121" s="25"/>
      <c r="H121" s="25"/>
      <c r="I121" s="25"/>
      <c r="J121" s="25"/>
      <c r="K121" s="25"/>
      <c r="L121" s="25"/>
      <c r="M121" s="25"/>
      <c r="N121" s="25"/>
      <c r="P121" s="27"/>
      <c r="Q121" s="27"/>
      <c r="R121" s="27"/>
      <c r="S121" s="27"/>
      <c r="U121" s="27"/>
      <c r="V121" s="27"/>
      <c r="W121" s="27"/>
    </row>
    <row r="122" spans="5:23" ht="38.1" customHeight="1" x14ac:dyDescent="0.3">
      <c r="E122" s="25"/>
      <c r="F122" s="25"/>
      <c r="H122" s="25"/>
      <c r="I122" s="25"/>
      <c r="J122" s="25"/>
      <c r="K122" s="25"/>
      <c r="L122" s="25"/>
      <c r="M122" s="25"/>
      <c r="N122" s="25"/>
      <c r="P122" s="27"/>
      <c r="Q122" s="27"/>
      <c r="R122" s="27"/>
      <c r="S122" s="27"/>
      <c r="U122" s="27"/>
      <c r="V122" s="27"/>
      <c r="W122" s="27"/>
    </row>
    <row r="123" spans="5:23" ht="38.1" customHeight="1" x14ac:dyDescent="0.3">
      <c r="E123" s="25"/>
      <c r="F123" s="25"/>
      <c r="H123" s="25"/>
      <c r="I123" s="25"/>
      <c r="J123" s="25"/>
      <c r="K123" s="25"/>
      <c r="L123" s="25"/>
      <c r="M123" s="25"/>
      <c r="N123" s="25"/>
      <c r="P123" s="27"/>
      <c r="Q123" s="27"/>
      <c r="R123" s="27"/>
      <c r="S123" s="27"/>
      <c r="U123" s="27"/>
      <c r="V123" s="27"/>
      <c r="W123" s="27"/>
    </row>
    <row r="124" spans="5:23" ht="38.1" customHeight="1" x14ac:dyDescent="0.3">
      <c r="E124" s="25"/>
      <c r="F124" s="25"/>
      <c r="H124" s="25"/>
      <c r="I124" s="25"/>
      <c r="J124" s="25"/>
      <c r="K124" s="25"/>
      <c r="L124" s="25"/>
      <c r="M124" s="25"/>
      <c r="N124" s="25"/>
      <c r="P124" s="27"/>
      <c r="Q124" s="27"/>
      <c r="R124" s="27"/>
      <c r="S124" s="27"/>
      <c r="U124" s="27"/>
      <c r="V124" s="27"/>
      <c r="W124" s="27"/>
    </row>
    <row r="125" spans="5:23" ht="38.1" customHeight="1" x14ac:dyDescent="0.3">
      <c r="E125" s="25"/>
      <c r="F125" s="25"/>
      <c r="H125" s="25"/>
      <c r="I125" s="25"/>
      <c r="J125" s="25"/>
      <c r="K125" s="25"/>
      <c r="L125" s="25"/>
      <c r="M125" s="25"/>
      <c r="N125" s="25"/>
      <c r="P125" s="27"/>
      <c r="Q125" s="27"/>
      <c r="R125" s="27"/>
      <c r="S125" s="27"/>
      <c r="U125" s="27"/>
      <c r="V125" s="27"/>
      <c r="W125" s="27"/>
    </row>
    <row r="126" spans="5:23" ht="38.1" customHeight="1" x14ac:dyDescent="0.3">
      <c r="E126" s="25"/>
      <c r="F126" s="25"/>
      <c r="H126" s="25"/>
      <c r="I126" s="25"/>
      <c r="J126" s="25"/>
      <c r="K126" s="25"/>
      <c r="L126" s="25"/>
      <c r="M126" s="25"/>
      <c r="N126" s="25"/>
      <c r="P126" s="27"/>
      <c r="Q126" s="27"/>
      <c r="R126" s="27"/>
      <c r="S126" s="27"/>
      <c r="U126" s="27"/>
      <c r="V126" s="27"/>
      <c r="W126" s="27"/>
    </row>
    <row r="127" spans="5:23" ht="38.1" customHeight="1" x14ac:dyDescent="0.3">
      <c r="E127" s="25"/>
      <c r="F127" s="25"/>
      <c r="H127" s="25"/>
      <c r="I127" s="25"/>
      <c r="J127" s="25"/>
      <c r="K127" s="25"/>
      <c r="L127" s="25"/>
      <c r="M127" s="25"/>
      <c r="N127" s="25"/>
      <c r="P127" s="27"/>
      <c r="Q127" s="27"/>
      <c r="R127" s="27"/>
      <c r="S127" s="27"/>
      <c r="U127" s="27"/>
      <c r="V127" s="27"/>
      <c r="W127" s="27"/>
    </row>
    <row r="128" spans="5:23" ht="38.1" customHeight="1" x14ac:dyDescent="0.3">
      <c r="E128" s="25"/>
      <c r="F128" s="25"/>
      <c r="H128" s="25"/>
      <c r="I128" s="25"/>
      <c r="J128" s="25"/>
      <c r="K128" s="25"/>
      <c r="L128" s="25"/>
      <c r="M128" s="25"/>
      <c r="N128" s="25"/>
      <c r="P128" s="27"/>
      <c r="Q128" s="27"/>
      <c r="R128" s="27"/>
      <c r="S128" s="27"/>
      <c r="U128" s="27"/>
      <c r="V128" s="27"/>
      <c r="W128" s="27"/>
    </row>
    <row r="129" spans="5:23" ht="38.1" customHeight="1" x14ac:dyDescent="0.3">
      <c r="E129" s="25"/>
      <c r="F129" s="25"/>
      <c r="H129" s="25"/>
      <c r="I129" s="25"/>
      <c r="J129" s="25"/>
      <c r="K129" s="25"/>
      <c r="L129" s="25"/>
      <c r="M129" s="25"/>
      <c r="N129" s="25"/>
      <c r="P129" s="27"/>
      <c r="Q129" s="27"/>
      <c r="R129" s="27"/>
      <c r="S129" s="27"/>
      <c r="U129" s="27"/>
      <c r="V129" s="27"/>
      <c r="W129" s="27"/>
    </row>
    <row r="130" spans="5:23" ht="38.1" customHeight="1" x14ac:dyDescent="0.3">
      <c r="E130" s="25"/>
      <c r="F130" s="25"/>
      <c r="H130" s="25"/>
      <c r="I130" s="25"/>
      <c r="J130" s="25"/>
      <c r="K130" s="25"/>
      <c r="L130" s="25"/>
      <c r="M130" s="25"/>
      <c r="N130" s="25"/>
      <c r="P130" s="27"/>
      <c r="Q130" s="27"/>
      <c r="R130" s="27"/>
      <c r="S130" s="27"/>
      <c r="U130" s="27"/>
      <c r="V130" s="27"/>
      <c r="W130" s="27"/>
    </row>
    <row r="131" spans="5:23" ht="38.1" customHeight="1" x14ac:dyDescent="0.3">
      <c r="E131" s="25"/>
      <c r="F131" s="25"/>
      <c r="H131" s="25"/>
      <c r="I131" s="25"/>
      <c r="J131" s="25"/>
      <c r="K131" s="25"/>
      <c r="L131" s="25"/>
      <c r="M131" s="25"/>
      <c r="N131" s="25"/>
      <c r="P131" s="27"/>
      <c r="Q131" s="27"/>
      <c r="R131" s="27"/>
      <c r="S131" s="27"/>
      <c r="U131" s="27"/>
      <c r="V131" s="27"/>
      <c r="W131" s="27"/>
    </row>
    <row r="132" spans="5:23" ht="38.1" customHeight="1" x14ac:dyDescent="0.3">
      <c r="E132" s="25"/>
      <c r="F132" s="25"/>
      <c r="H132" s="25"/>
      <c r="I132" s="25"/>
      <c r="J132" s="25"/>
      <c r="K132" s="25"/>
      <c r="L132" s="25"/>
      <c r="M132" s="25"/>
      <c r="N132" s="25"/>
      <c r="P132" s="27"/>
      <c r="Q132" s="27"/>
      <c r="R132" s="27"/>
      <c r="S132" s="27"/>
      <c r="U132" s="27"/>
      <c r="V132" s="27"/>
      <c r="W132" s="27"/>
    </row>
    <row r="133" spans="5:23" ht="38.1" customHeight="1" x14ac:dyDescent="0.3">
      <c r="E133" s="25"/>
      <c r="F133" s="25"/>
      <c r="H133" s="25"/>
      <c r="I133" s="25"/>
      <c r="J133" s="25"/>
      <c r="K133" s="25"/>
      <c r="L133" s="25"/>
      <c r="M133" s="25"/>
      <c r="N133" s="25"/>
      <c r="P133" s="27"/>
      <c r="Q133" s="27"/>
      <c r="R133" s="27"/>
      <c r="S133" s="27"/>
      <c r="U133" s="27"/>
      <c r="V133" s="27"/>
      <c r="W133" s="27"/>
    </row>
    <row r="134" spans="5:23" ht="38.1" customHeight="1" x14ac:dyDescent="0.3">
      <c r="E134" s="25"/>
      <c r="F134" s="25"/>
      <c r="H134" s="25"/>
      <c r="I134" s="25"/>
      <c r="J134" s="25"/>
      <c r="K134" s="25"/>
      <c r="L134" s="25"/>
      <c r="M134" s="25"/>
      <c r="N134" s="25"/>
      <c r="P134" s="27"/>
      <c r="Q134" s="27"/>
      <c r="R134" s="27"/>
      <c r="S134" s="27"/>
      <c r="U134" s="27"/>
      <c r="V134" s="27"/>
      <c r="W134" s="27"/>
    </row>
    <row r="135" spans="5:23" ht="38.1" customHeight="1" x14ac:dyDescent="0.3">
      <c r="E135" s="25"/>
      <c r="F135" s="25"/>
      <c r="H135" s="25"/>
      <c r="I135" s="25"/>
      <c r="J135" s="25"/>
      <c r="K135" s="25"/>
      <c r="L135" s="25"/>
      <c r="M135" s="25"/>
      <c r="N135" s="25"/>
      <c r="P135" s="27"/>
      <c r="Q135" s="27"/>
      <c r="R135" s="27"/>
      <c r="S135" s="27"/>
      <c r="U135" s="27"/>
      <c r="V135" s="27"/>
      <c r="W135" s="27"/>
    </row>
    <row r="136" spans="5:23" ht="38.1" customHeight="1" x14ac:dyDescent="0.3">
      <c r="E136" s="25"/>
      <c r="F136" s="25"/>
      <c r="H136" s="25"/>
      <c r="I136" s="25"/>
      <c r="J136" s="25"/>
      <c r="K136" s="25"/>
      <c r="L136" s="25"/>
      <c r="M136" s="25"/>
      <c r="N136" s="25"/>
      <c r="P136" s="27"/>
      <c r="Q136" s="27"/>
      <c r="R136" s="27"/>
      <c r="S136" s="27"/>
      <c r="U136" s="27"/>
      <c r="V136" s="27"/>
      <c r="W136" s="27"/>
    </row>
    <row r="137" spans="5:23" ht="38.1" customHeight="1" x14ac:dyDescent="0.3">
      <c r="E137" s="25"/>
      <c r="F137" s="25"/>
      <c r="H137" s="25"/>
      <c r="I137" s="25"/>
      <c r="J137" s="25"/>
      <c r="K137" s="25"/>
      <c r="L137" s="25"/>
      <c r="M137" s="25"/>
      <c r="N137" s="25"/>
      <c r="P137" s="27"/>
      <c r="Q137" s="27"/>
      <c r="R137" s="27"/>
      <c r="S137" s="27"/>
      <c r="U137" s="27"/>
      <c r="V137" s="27"/>
      <c r="W137" s="27"/>
    </row>
    <row r="138" spans="5:23" ht="38.1" customHeight="1" x14ac:dyDescent="0.3">
      <c r="E138" s="25"/>
      <c r="F138" s="25"/>
      <c r="H138" s="25"/>
      <c r="I138" s="25"/>
      <c r="J138" s="25"/>
      <c r="K138" s="25"/>
      <c r="L138" s="25"/>
      <c r="M138" s="25"/>
      <c r="N138" s="25"/>
      <c r="P138" s="27"/>
      <c r="Q138" s="27"/>
      <c r="R138" s="27"/>
      <c r="S138" s="27"/>
      <c r="U138" s="27"/>
      <c r="V138" s="27"/>
      <c r="W138" s="27"/>
    </row>
    <row r="139" spans="5:23" ht="38.1" customHeight="1" x14ac:dyDescent="0.3">
      <c r="E139" s="25"/>
      <c r="F139" s="25"/>
      <c r="H139" s="25"/>
      <c r="I139" s="25"/>
      <c r="J139" s="25"/>
      <c r="K139" s="25"/>
      <c r="L139" s="25"/>
      <c r="M139" s="25"/>
      <c r="N139" s="25"/>
      <c r="P139" s="27"/>
      <c r="Q139" s="27"/>
      <c r="R139" s="27"/>
      <c r="S139" s="27"/>
      <c r="U139" s="27"/>
      <c r="V139" s="27"/>
      <c r="W139" s="27"/>
    </row>
    <row r="140" spans="5:23" x14ac:dyDescent="0.3">
      <c r="E140" s="25"/>
      <c r="F140" s="25"/>
      <c r="H140" s="25"/>
      <c r="I140" s="25"/>
      <c r="J140" s="25"/>
      <c r="K140" s="25"/>
      <c r="L140" s="25"/>
      <c r="M140" s="25"/>
      <c r="N140" s="25"/>
      <c r="P140" s="27"/>
      <c r="Q140" s="27"/>
      <c r="R140" s="27"/>
      <c r="S140" s="27"/>
      <c r="U140" s="27"/>
      <c r="V140" s="27"/>
      <c r="W140" s="27"/>
    </row>
    <row r="141" spans="5:23" x14ac:dyDescent="0.3">
      <c r="E141" s="25"/>
      <c r="F141" s="25"/>
      <c r="H141" s="25"/>
      <c r="I141" s="25"/>
      <c r="J141" s="25"/>
      <c r="K141" s="25"/>
      <c r="L141" s="25"/>
      <c r="M141" s="25"/>
      <c r="N141" s="25"/>
      <c r="P141" s="27"/>
      <c r="Q141" s="27"/>
      <c r="R141" s="27"/>
      <c r="S141" s="27"/>
      <c r="U141" s="27"/>
      <c r="V141" s="27"/>
      <c r="W141" s="27"/>
    </row>
    <row r="142" spans="5:23" x14ac:dyDescent="0.3">
      <c r="E142" s="25"/>
      <c r="F142" s="25"/>
      <c r="H142" s="25"/>
      <c r="I142" s="25"/>
      <c r="J142" s="25"/>
      <c r="K142" s="25"/>
      <c r="L142" s="25"/>
      <c r="M142" s="25"/>
      <c r="N142" s="25"/>
      <c r="P142" s="27"/>
      <c r="Q142" s="27"/>
      <c r="R142" s="27"/>
      <c r="S142" s="27"/>
      <c r="U142" s="27"/>
      <c r="V142" s="27"/>
      <c r="W142" s="27"/>
    </row>
    <row r="143" spans="5:23" x14ac:dyDescent="0.3">
      <c r="E143" s="25"/>
      <c r="F143" s="25"/>
      <c r="H143" s="25"/>
      <c r="I143" s="25"/>
      <c r="J143" s="25"/>
      <c r="K143" s="25"/>
      <c r="L143" s="25"/>
      <c r="M143" s="25"/>
      <c r="N143" s="25"/>
      <c r="P143" s="27"/>
      <c r="Q143" s="27"/>
      <c r="R143" s="27"/>
      <c r="S143" s="27"/>
      <c r="U143" s="27"/>
      <c r="V143" s="27"/>
      <c r="W143" s="27"/>
    </row>
    <row r="144" spans="5:23" x14ac:dyDescent="0.3">
      <c r="E144" s="25"/>
      <c r="F144" s="25"/>
      <c r="H144" s="25"/>
      <c r="I144" s="25"/>
      <c r="J144" s="25"/>
      <c r="K144" s="25"/>
      <c r="L144" s="25"/>
      <c r="M144" s="25"/>
      <c r="N144" s="25"/>
      <c r="P144" s="27"/>
      <c r="Q144" s="27"/>
      <c r="R144" s="27"/>
      <c r="S144" s="27"/>
      <c r="U144" s="27"/>
      <c r="V144" s="27"/>
      <c r="W144" s="27"/>
    </row>
    <row r="145" spans="5:23" x14ac:dyDescent="0.3">
      <c r="E145" s="25"/>
      <c r="F145" s="25"/>
      <c r="H145" s="25"/>
      <c r="I145" s="25"/>
      <c r="J145" s="25"/>
      <c r="K145" s="25"/>
      <c r="L145" s="25"/>
      <c r="M145" s="25"/>
      <c r="N145" s="25"/>
      <c r="P145" s="27"/>
      <c r="Q145" s="27"/>
      <c r="R145" s="27"/>
      <c r="S145" s="27"/>
      <c r="U145" s="27"/>
      <c r="V145" s="27"/>
      <c r="W145" s="27"/>
    </row>
    <row r="146" spans="5:23" x14ac:dyDescent="0.3">
      <c r="E146" s="25"/>
      <c r="F146" s="25"/>
      <c r="H146" s="25"/>
      <c r="I146" s="25"/>
      <c r="J146" s="25"/>
      <c r="K146" s="25"/>
      <c r="L146" s="25"/>
      <c r="M146" s="25"/>
      <c r="N146" s="25"/>
      <c r="P146" s="27"/>
      <c r="Q146" s="27"/>
      <c r="R146" s="27"/>
      <c r="S146" s="27"/>
      <c r="U146" s="27"/>
      <c r="V146" s="27"/>
      <c r="W146" s="27"/>
    </row>
    <row r="147" spans="5:23" x14ac:dyDescent="0.3">
      <c r="E147" s="25"/>
      <c r="F147" s="25"/>
      <c r="H147" s="25"/>
      <c r="I147" s="25"/>
      <c r="J147" s="25"/>
      <c r="K147" s="25"/>
      <c r="L147" s="25"/>
      <c r="M147" s="25"/>
      <c r="N147" s="25"/>
      <c r="P147" s="27"/>
      <c r="Q147" s="27"/>
      <c r="R147" s="27"/>
      <c r="S147" s="27"/>
      <c r="U147" s="27"/>
      <c r="V147" s="27"/>
      <c r="W147" s="27"/>
    </row>
    <row r="148" spans="5:23" x14ac:dyDescent="0.3">
      <c r="E148" s="25"/>
      <c r="F148" s="25"/>
      <c r="H148" s="25"/>
      <c r="I148" s="25"/>
      <c r="J148" s="25"/>
      <c r="K148" s="25"/>
      <c r="L148" s="25"/>
      <c r="M148" s="25"/>
      <c r="N148" s="25"/>
      <c r="P148" s="27"/>
      <c r="Q148" s="27"/>
      <c r="R148" s="27"/>
      <c r="S148" s="27"/>
      <c r="U148" s="27"/>
      <c r="V148" s="27"/>
      <c r="W148" s="27"/>
    </row>
    <row r="149" spans="5:23" x14ac:dyDescent="0.3">
      <c r="E149" s="25"/>
      <c r="F149" s="25"/>
      <c r="H149" s="25"/>
      <c r="I149" s="25"/>
      <c r="J149" s="25"/>
      <c r="K149" s="25"/>
      <c r="L149" s="25"/>
      <c r="M149" s="25"/>
      <c r="N149" s="25"/>
      <c r="P149" s="27"/>
      <c r="Q149" s="27"/>
      <c r="R149" s="27"/>
      <c r="S149" s="27"/>
      <c r="U149" s="27"/>
      <c r="V149" s="27"/>
      <c r="W149" s="27"/>
    </row>
    <row r="150" spans="5:23" x14ac:dyDescent="0.3">
      <c r="E150" s="25"/>
      <c r="F150" s="25"/>
      <c r="H150" s="25"/>
      <c r="I150" s="25"/>
      <c r="J150" s="25"/>
      <c r="K150" s="25"/>
      <c r="L150" s="25"/>
      <c r="M150" s="25"/>
      <c r="N150" s="25"/>
      <c r="P150" s="27"/>
      <c r="Q150" s="27"/>
      <c r="R150" s="27"/>
      <c r="S150" s="27"/>
      <c r="U150" s="27"/>
      <c r="V150" s="27"/>
      <c r="W150" s="27"/>
    </row>
    <row r="151" spans="5:23" x14ac:dyDescent="0.3">
      <c r="E151" s="25"/>
      <c r="F151" s="25"/>
      <c r="H151" s="25"/>
      <c r="I151" s="25"/>
      <c r="J151" s="25"/>
      <c r="K151" s="25"/>
      <c r="L151" s="25"/>
      <c r="M151" s="25"/>
      <c r="N151" s="25"/>
      <c r="P151" s="27"/>
      <c r="Q151" s="27"/>
      <c r="R151" s="27"/>
      <c r="S151" s="27"/>
      <c r="U151" s="27"/>
      <c r="V151" s="27"/>
      <c r="W151" s="27"/>
    </row>
    <row r="152" spans="5:23" x14ac:dyDescent="0.3">
      <c r="E152" s="25"/>
      <c r="F152" s="25"/>
      <c r="H152" s="25"/>
      <c r="I152" s="25"/>
      <c r="J152" s="25"/>
      <c r="K152" s="25"/>
      <c r="L152" s="25"/>
      <c r="M152" s="25"/>
      <c r="N152" s="25"/>
      <c r="P152" s="27"/>
      <c r="Q152" s="27"/>
      <c r="R152" s="27"/>
      <c r="S152" s="27"/>
      <c r="U152" s="27"/>
      <c r="V152" s="27"/>
      <c r="W152" s="27"/>
    </row>
    <row r="153" spans="5:23" x14ac:dyDescent="0.3">
      <c r="E153" s="25"/>
      <c r="F153" s="25"/>
      <c r="H153" s="25"/>
      <c r="I153" s="25"/>
      <c r="J153" s="25"/>
      <c r="K153" s="25"/>
      <c r="L153" s="25"/>
      <c r="M153" s="25"/>
      <c r="N153" s="25"/>
      <c r="P153" s="27"/>
      <c r="Q153" s="27"/>
      <c r="R153" s="27"/>
      <c r="S153" s="27"/>
      <c r="U153" s="27"/>
      <c r="V153" s="27"/>
      <c r="W153" s="27"/>
    </row>
    <row r="154" spans="5:23" x14ac:dyDescent="0.3">
      <c r="E154" s="25"/>
      <c r="F154" s="25"/>
      <c r="H154" s="25"/>
      <c r="I154" s="25"/>
      <c r="J154" s="25"/>
      <c r="K154" s="25"/>
      <c r="L154" s="25"/>
      <c r="M154" s="25"/>
      <c r="N154" s="25"/>
      <c r="P154" s="27"/>
      <c r="Q154" s="27"/>
      <c r="R154" s="27"/>
      <c r="S154" s="27"/>
      <c r="U154" s="27"/>
      <c r="V154" s="27"/>
      <c r="W154" s="27"/>
    </row>
    <row r="155" spans="5:23" x14ac:dyDescent="0.3">
      <c r="E155" s="25"/>
      <c r="F155" s="25"/>
      <c r="H155" s="25"/>
      <c r="I155" s="25"/>
      <c r="J155" s="25"/>
      <c r="K155" s="25"/>
      <c r="L155" s="25"/>
      <c r="M155" s="25"/>
      <c r="N155" s="25"/>
      <c r="P155" s="27"/>
      <c r="Q155" s="27"/>
      <c r="R155" s="27"/>
      <c r="S155" s="27"/>
      <c r="U155" s="27"/>
      <c r="V155" s="27"/>
      <c r="W155" s="27"/>
    </row>
    <row r="156" spans="5:23" x14ac:dyDescent="0.3">
      <c r="E156" s="25"/>
      <c r="F156" s="25"/>
      <c r="H156" s="25"/>
      <c r="I156" s="25"/>
      <c r="J156" s="25"/>
      <c r="K156" s="25"/>
      <c r="L156" s="25"/>
      <c r="M156" s="25"/>
      <c r="N156" s="25"/>
      <c r="P156" s="27"/>
      <c r="Q156" s="27"/>
      <c r="R156" s="27"/>
      <c r="S156" s="27"/>
      <c r="U156" s="27"/>
      <c r="V156" s="27"/>
      <c r="W156" s="27"/>
    </row>
    <row r="157" spans="5:23" x14ac:dyDescent="0.3">
      <c r="E157" s="25"/>
      <c r="F157" s="25"/>
      <c r="H157" s="25"/>
      <c r="I157" s="25"/>
      <c r="J157" s="25"/>
      <c r="K157" s="25"/>
      <c r="L157" s="25"/>
      <c r="M157" s="25"/>
      <c r="N157" s="25"/>
      <c r="P157" s="27"/>
      <c r="Q157" s="27"/>
      <c r="R157" s="27"/>
      <c r="S157" s="27"/>
      <c r="U157" s="27"/>
      <c r="V157" s="27"/>
      <c r="W157" s="27"/>
    </row>
    <row r="158" spans="5:23" x14ac:dyDescent="0.3">
      <c r="E158" s="25"/>
      <c r="F158" s="25"/>
      <c r="H158" s="25"/>
      <c r="I158" s="25"/>
      <c r="J158" s="25"/>
      <c r="K158" s="25"/>
      <c r="L158" s="25"/>
      <c r="M158" s="25"/>
      <c r="N158" s="25"/>
      <c r="P158" s="27"/>
      <c r="Q158" s="27"/>
      <c r="R158" s="27"/>
      <c r="S158" s="27"/>
      <c r="U158" s="27"/>
      <c r="V158" s="27"/>
      <c r="W158" s="27"/>
    </row>
    <row r="159" spans="5:23" x14ac:dyDescent="0.3">
      <c r="E159" s="25"/>
      <c r="F159" s="25"/>
      <c r="H159" s="25"/>
      <c r="I159" s="25"/>
      <c r="J159" s="25"/>
      <c r="K159" s="25"/>
      <c r="L159" s="25"/>
      <c r="M159" s="25"/>
      <c r="N159" s="25"/>
      <c r="P159" s="27"/>
      <c r="Q159" s="27"/>
      <c r="R159" s="27"/>
      <c r="S159" s="27"/>
      <c r="U159" s="27"/>
      <c r="V159" s="27"/>
      <c r="W159" s="27"/>
    </row>
    <row r="160" spans="5:23" x14ac:dyDescent="0.3">
      <c r="E160" s="25"/>
      <c r="F160" s="25"/>
      <c r="H160" s="25"/>
      <c r="I160" s="25"/>
      <c r="J160" s="25"/>
      <c r="K160" s="25"/>
      <c r="L160" s="25"/>
      <c r="M160" s="25"/>
      <c r="N160" s="25"/>
      <c r="P160" s="27"/>
      <c r="Q160" s="27"/>
      <c r="R160" s="27"/>
      <c r="S160" s="27"/>
      <c r="U160" s="27"/>
      <c r="V160" s="27"/>
      <c r="W160" s="27"/>
    </row>
    <row r="161" spans="5:23" x14ac:dyDescent="0.3">
      <c r="E161" s="25"/>
      <c r="F161" s="25"/>
      <c r="H161" s="25"/>
      <c r="I161" s="25"/>
      <c r="J161" s="25"/>
      <c r="K161" s="25"/>
      <c r="L161" s="25"/>
      <c r="M161" s="25"/>
      <c r="N161" s="25"/>
      <c r="P161" s="27"/>
      <c r="Q161" s="27"/>
      <c r="R161" s="27"/>
      <c r="S161" s="27"/>
      <c r="U161" s="27"/>
      <c r="V161" s="27"/>
      <c r="W161" s="27"/>
    </row>
    <row r="162" spans="5:23" x14ac:dyDescent="0.3">
      <c r="E162" s="25"/>
      <c r="F162" s="25"/>
      <c r="H162" s="25"/>
      <c r="I162" s="25"/>
      <c r="J162" s="25"/>
      <c r="K162" s="25"/>
      <c r="L162" s="25"/>
      <c r="M162" s="25"/>
      <c r="N162" s="25"/>
      <c r="P162" s="27"/>
      <c r="Q162" s="27"/>
      <c r="R162" s="27"/>
      <c r="S162" s="27"/>
      <c r="U162" s="27"/>
      <c r="V162" s="27"/>
      <c r="W162" s="27"/>
    </row>
    <row r="163" spans="5:23" x14ac:dyDescent="0.3">
      <c r="E163" s="25"/>
      <c r="F163" s="25"/>
      <c r="H163" s="25"/>
      <c r="I163" s="25"/>
      <c r="J163" s="25"/>
      <c r="K163" s="25"/>
      <c r="L163" s="25"/>
      <c r="M163" s="25"/>
      <c r="N163" s="25"/>
      <c r="P163" s="27"/>
      <c r="Q163" s="27"/>
      <c r="R163" s="27"/>
      <c r="S163" s="27"/>
      <c r="U163" s="27"/>
      <c r="V163" s="27"/>
      <c r="W163" s="27"/>
    </row>
    <row r="164" spans="5:23" x14ac:dyDescent="0.3">
      <c r="E164" s="25"/>
      <c r="F164" s="25"/>
      <c r="H164" s="25"/>
      <c r="I164" s="25"/>
      <c r="J164" s="25"/>
      <c r="K164" s="25"/>
      <c r="L164" s="25"/>
      <c r="M164" s="25"/>
      <c r="N164" s="25"/>
      <c r="P164" s="27"/>
      <c r="Q164" s="27"/>
      <c r="R164" s="27"/>
      <c r="S164" s="27"/>
      <c r="U164" s="27"/>
      <c r="V164" s="27"/>
      <c r="W164" s="27"/>
    </row>
    <row r="165" spans="5:23" x14ac:dyDescent="0.3">
      <c r="E165" s="25"/>
      <c r="F165" s="25"/>
      <c r="H165" s="25"/>
      <c r="I165" s="25"/>
      <c r="J165" s="25"/>
      <c r="K165" s="25"/>
      <c r="L165" s="25"/>
      <c r="M165" s="25"/>
      <c r="N165" s="25"/>
      <c r="P165" s="27"/>
      <c r="Q165" s="27"/>
      <c r="R165" s="27"/>
      <c r="S165" s="27"/>
      <c r="U165" s="27"/>
      <c r="V165" s="27"/>
      <c r="W165" s="27"/>
    </row>
    <row r="166" spans="5:23" x14ac:dyDescent="0.3">
      <c r="E166" s="25"/>
      <c r="F166" s="25"/>
      <c r="H166" s="25"/>
      <c r="I166" s="25"/>
      <c r="J166" s="25"/>
      <c r="K166" s="25"/>
      <c r="L166" s="25"/>
      <c r="M166" s="25"/>
      <c r="N166" s="25"/>
      <c r="P166" s="27"/>
      <c r="Q166" s="27"/>
      <c r="R166" s="27"/>
      <c r="S166" s="27"/>
      <c r="U166" s="27"/>
      <c r="V166" s="27"/>
      <c r="W166" s="27"/>
    </row>
    <row r="167" spans="5:23" x14ac:dyDescent="0.3">
      <c r="E167" s="25"/>
      <c r="F167" s="25"/>
      <c r="H167" s="25"/>
      <c r="I167" s="25"/>
      <c r="J167" s="25"/>
      <c r="K167" s="25"/>
      <c r="L167" s="25"/>
      <c r="M167" s="25"/>
      <c r="N167" s="25"/>
      <c r="P167" s="27"/>
      <c r="Q167" s="27"/>
      <c r="R167" s="27"/>
      <c r="S167" s="27"/>
      <c r="U167" s="27"/>
      <c r="V167" s="27"/>
      <c r="W167" s="27"/>
    </row>
    <row r="168" spans="5:23" x14ac:dyDescent="0.3">
      <c r="E168" s="25"/>
      <c r="F168" s="25"/>
      <c r="H168" s="25"/>
      <c r="I168" s="25"/>
      <c r="J168" s="25"/>
      <c r="K168" s="25"/>
      <c r="L168" s="25"/>
      <c r="M168" s="25"/>
      <c r="N168" s="25"/>
      <c r="P168" s="27"/>
      <c r="Q168" s="27"/>
      <c r="R168" s="27"/>
      <c r="S168" s="27"/>
      <c r="U168" s="27"/>
      <c r="V168" s="27"/>
      <c r="W168" s="27"/>
    </row>
    <row r="169" spans="5:23" x14ac:dyDescent="0.3">
      <c r="E169" s="25"/>
      <c r="F169" s="25"/>
      <c r="H169" s="25"/>
      <c r="I169" s="25"/>
      <c r="J169" s="25"/>
      <c r="K169" s="25"/>
      <c r="L169" s="25"/>
      <c r="M169" s="25"/>
      <c r="N169" s="25"/>
      <c r="P169" s="27"/>
      <c r="Q169" s="27"/>
      <c r="R169" s="27"/>
      <c r="S169" s="27"/>
      <c r="U169" s="27"/>
      <c r="V169" s="27"/>
      <c r="W169" s="27"/>
    </row>
    <row r="170" spans="5:23" x14ac:dyDescent="0.3">
      <c r="E170" s="25"/>
      <c r="F170" s="25"/>
      <c r="H170" s="25"/>
      <c r="I170" s="25"/>
      <c r="J170" s="25"/>
      <c r="K170" s="25"/>
      <c r="L170" s="25"/>
      <c r="M170" s="25"/>
      <c r="N170" s="25"/>
      <c r="P170" s="27"/>
      <c r="Q170" s="27"/>
      <c r="R170" s="27"/>
      <c r="S170" s="27"/>
      <c r="U170" s="27"/>
      <c r="V170" s="27"/>
      <c r="W170" s="27"/>
    </row>
    <row r="171" spans="5:23" x14ac:dyDescent="0.3">
      <c r="E171" s="25"/>
      <c r="F171" s="25"/>
      <c r="H171" s="25"/>
      <c r="I171" s="25"/>
      <c r="J171" s="25"/>
      <c r="K171" s="25"/>
      <c r="L171" s="25"/>
      <c r="M171" s="25"/>
      <c r="N171" s="25"/>
      <c r="P171" s="27"/>
      <c r="Q171" s="27"/>
      <c r="R171" s="27"/>
      <c r="S171" s="27"/>
      <c r="U171" s="27"/>
      <c r="V171" s="27"/>
      <c r="W171" s="27"/>
    </row>
    <row r="172" spans="5:23" x14ac:dyDescent="0.3">
      <c r="E172" s="25"/>
      <c r="F172" s="25"/>
      <c r="H172" s="25"/>
      <c r="I172" s="25"/>
      <c r="J172" s="25"/>
      <c r="K172" s="25"/>
      <c r="L172" s="25"/>
      <c r="M172" s="25"/>
      <c r="N172" s="25"/>
      <c r="P172" s="27"/>
      <c r="Q172" s="27"/>
      <c r="R172" s="27"/>
      <c r="S172" s="27"/>
      <c r="U172" s="27"/>
      <c r="V172" s="27"/>
      <c r="W172" s="27"/>
    </row>
    <row r="173" spans="5:23" x14ac:dyDescent="0.3">
      <c r="E173" s="25"/>
      <c r="F173" s="25"/>
      <c r="H173" s="25"/>
      <c r="I173" s="25"/>
      <c r="J173" s="25"/>
      <c r="K173" s="25"/>
      <c r="L173" s="25"/>
      <c r="M173" s="25"/>
      <c r="N173" s="25"/>
      <c r="P173" s="27"/>
      <c r="Q173" s="27"/>
      <c r="R173" s="27"/>
      <c r="S173" s="27"/>
      <c r="U173" s="27"/>
      <c r="V173" s="27"/>
      <c r="W173" s="27"/>
    </row>
    <row r="174" spans="5:23" x14ac:dyDescent="0.3">
      <c r="E174" s="25"/>
      <c r="F174" s="25"/>
      <c r="H174" s="25"/>
      <c r="I174" s="25"/>
      <c r="J174" s="25"/>
      <c r="K174" s="25"/>
      <c r="L174" s="25"/>
      <c r="M174" s="25"/>
      <c r="N174" s="25"/>
      <c r="P174" s="27"/>
      <c r="Q174" s="27"/>
      <c r="R174" s="27"/>
      <c r="S174" s="27"/>
      <c r="U174" s="27"/>
      <c r="V174" s="27"/>
      <c r="W174" s="27"/>
    </row>
    <row r="175" spans="5:23" x14ac:dyDescent="0.3">
      <c r="E175" s="25"/>
      <c r="F175" s="25"/>
      <c r="H175" s="25"/>
      <c r="I175" s="25"/>
      <c r="J175" s="25"/>
      <c r="K175" s="25"/>
      <c r="L175" s="25"/>
      <c r="M175" s="25"/>
      <c r="N175" s="25"/>
      <c r="P175" s="27"/>
      <c r="Q175" s="27"/>
      <c r="R175" s="27"/>
      <c r="S175" s="27"/>
      <c r="U175" s="27"/>
      <c r="V175" s="27"/>
      <c r="W175" s="27"/>
    </row>
    <row r="176" spans="5:23" x14ac:dyDescent="0.3">
      <c r="E176" s="25"/>
      <c r="F176" s="25"/>
      <c r="H176" s="25"/>
      <c r="I176" s="25"/>
      <c r="J176" s="25"/>
      <c r="K176" s="25"/>
      <c r="L176" s="25"/>
      <c r="M176" s="25"/>
      <c r="N176" s="25"/>
      <c r="P176" s="27"/>
      <c r="Q176" s="27"/>
      <c r="R176" s="27"/>
      <c r="S176" s="27"/>
      <c r="U176" s="27"/>
      <c r="V176" s="27"/>
      <c r="W176" s="27"/>
    </row>
    <row r="177" spans="5:23" x14ac:dyDescent="0.3">
      <c r="E177" s="25"/>
      <c r="F177" s="25"/>
      <c r="H177" s="25"/>
      <c r="I177" s="25"/>
      <c r="J177" s="25"/>
      <c r="K177" s="25"/>
      <c r="L177" s="25"/>
      <c r="M177" s="25"/>
      <c r="N177" s="25"/>
      <c r="P177" s="27"/>
      <c r="Q177" s="27"/>
      <c r="R177" s="27"/>
      <c r="S177" s="27"/>
      <c r="U177" s="27"/>
      <c r="V177" s="27"/>
      <c r="W177" s="27"/>
    </row>
    <row r="178" spans="5:23" x14ac:dyDescent="0.3">
      <c r="E178" s="25"/>
      <c r="F178" s="25"/>
      <c r="H178" s="25"/>
      <c r="I178" s="25"/>
      <c r="J178" s="25"/>
      <c r="K178" s="25"/>
      <c r="L178" s="25"/>
      <c r="M178" s="25"/>
      <c r="N178" s="25"/>
      <c r="P178" s="27"/>
      <c r="Q178" s="27"/>
      <c r="R178" s="27"/>
      <c r="S178" s="27"/>
      <c r="U178" s="27"/>
      <c r="V178" s="27"/>
      <c r="W178" s="27"/>
    </row>
    <row r="179" spans="5:23" x14ac:dyDescent="0.3">
      <c r="E179" s="25"/>
      <c r="F179" s="25"/>
      <c r="H179" s="25"/>
      <c r="I179" s="25"/>
      <c r="J179" s="25"/>
      <c r="K179" s="25"/>
      <c r="L179" s="25"/>
      <c r="M179" s="25"/>
      <c r="N179" s="25"/>
      <c r="P179" s="27"/>
      <c r="Q179" s="27"/>
      <c r="R179" s="27"/>
      <c r="S179" s="27"/>
      <c r="U179" s="27"/>
      <c r="V179" s="27"/>
      <c r="W179" s="27"/>
    </row>
    <row r="180" spans="5:23" x14ac:dyDescent="0.3">
      <c r="E180" s="25"/>
      <c r="F180" s="25"/>
      <c r="H180" s="25"/>
      <c r="I180" s="25"/>
      <c r="J180" s="25"/>
      <c r="K180" s="25"/>
      <c r="L180" s="25"/>
      <c r="M180" s="25"/>
      <c r="N180" s="25"/>
      <c r="P180" s="27"/>
      <c r="Q180" s="27"/>
      <c r="R180" s="27"/>
      <c r="S180" s="27"/>
      <c r="U180" s="27"/>
      <c r="V180" s="27"/>
      <c r="W180" s="27"/>
    </row>
    <row r="181" spans="5:23" x14ac:dyDescent="0.3">
      <c r="E181" s="25"/>
      <c r="F181" s="25"/>
      <c r="H181" s="25"/>
      <c r="I181" s="25"/>
      <c r="J181" s="25"/>
      <c r="K181" s="25"/>
      <c r="L181" s="25"/>
      <c r="M181" s="25"/>
      <c r="N181" s="25"/>
      <c r="P181" s="27"/>
      <c r="Q181" s="27"/>
      <c r="R181" s="27"/>
      <c r="S181" s="27"/>
      <c r="U181" s="27"/>
      <c r="V181" s="27"/>
      <c r="W181" s="27"/>
    </row>
    <row r="182" spans="5:23" x14ac:dyDescent="0.3">
      <c r="E182" s="25"/>
      <c r="F182" s="25"/>
      <c r="H182" s="25"/>
      <c r="I182" s="25"/>
      <c r="J182" s="25"/>
      <c r="K182" s="25"/>
      <c r="L182" s="25"/>
      <c r="M182" s="25"/>
      <c r="N182" s="25"/>
      <c r="P182" s="27"/>
      <c r="Q182" s="27"/>
      <c r="R182" s="27"/>
      <c r="S182" s="27"/>
      <c r="U182" s="27"/>
      <c r="V182" s="27"/>
      <c r="W182" s="27"/>
    </row>
    <row r="183" spans="5:23" x14ac:dyDescent="0.3">
      <c r="E183" s="25"/>
      <c r="F183" s="25"/>
      <c r="H183" s="25"/>
      <c r="I183" s="25"/>
      <c r="J183" s="25"/>
      <c r="K183" s="25"/>
      <c r="L183" s="25"/>
      <c r="M183" s="25"/>
      <c r="N183" s="25"/>
      <c r="P183" s="27"/>
      <c r="Q183" s="27"/>
      <c r="R183" s="27"/>
      <c r="S183" s="27"/>
      <c r="U183" s="27"/>
      <c r="V183" s="27"/>
      <c r="W183" s="27"/>
    </row>
    <row r="184" spans="5:23" x14ac:dyDescent="0.3">
      <c r="E184" s="25"/>
      <c r="F184" s="25"/>
      <c r="H184" s="25"/>
      <c r="I184" s="25"/>
      <c r="J184" s="25"/>
      <c r="K184" s="25"/>
      <c r="L184" s="25"/>
      <c r="M184" s="25"/>
      <c r="N184" s="25"/>
      <c r="P184" s="27"/>
      <c r="Q184" s="27"/>
      <c r="R184" s="27"/>
      <c r="S184" s="27"/>
      <c r="U184" s="27"/>
      <c r="V184" s="27"/>
      <c r="W184" s="27"/>
    </row>
    <row r="185" spans="5:23" x14ac:dyDescent="0.3">
      <c r="E185" s="25"/>
      <c r="F185" s="25"/>
      <c r="H185" s="25"/>
      <c r="I185" s="25"/>
      <c r="J185" s="25"/>
      <c r="K185" s="25"/>
      <c r="L185" s="25"/>
      <c r="M185" s="25"/>
      <c r="N185" s="25"/>
      <c r="P185" s="27"/>
      <c r="Q185" s="27"/>
      <c r="R185" s="27"/>
      <c r="S185" s="27"/>
      <c r="U185" s="27"/>
      <c r="V185" s="27"/>
      <c r="W185" s="27"/>
    </row>
    <row r="186" spans="5:23" x14ac:dyDescent="0.3">
      <c r="E186" s="25"/>
      <c r="F186" s="25"/>
      <c r="H186" s="25"/>
      <c r="I186" s="25"/>
      <c r="J186" s="25"/>
      <c r="K186" s="25"/>
      <c r="L186" s="25"/>
      <c r="M186" s="25"/>
      <c r="N186" s="25"/>
      <c r="P186" s="27"/>
      <c r="Q186" s="27"/>
      <c r="R186" s="27"/>
      <c r="S186" s="27"/>
      <c r="U186" s="27"/>
      <c r="V186" s="27"/>
      <c r="W186" s="27"/>
    </row>
    <row r="187" spans="5:23" x14ac:dyDescent="0.3">
      <c r="E187" s="25"/>
      <c r="F187" s="25"/>
      <c r="H187" s="25"/>
      <c r="I187" s="25"/>
      <c r="J187" s="25"/>
      <c r="K187" s="25"/>
      <c r="L187" s="25"/>
      <c r="M187" s="25"/>
      <c r="N187" s="25"/>
      <c r="P187" s="27"/>
      <c r="Q187" s="27"/>
      <c r="R187" s="27"/>
      <c r="S187" s="27"/>
      <c r="U187" s="27"/>
      <c r="V187" s="27"/>
      <c r="W187" s="27"/>
    </row>
    <row r="188" spans="5:23" x14ac:dyDescent="0.3">
      <c r="E188" s="25"/>
      <c r="F188" s="25"/>
      <c r="H188" s="25"/>
      <c r="I188" s="25"/>
      <c r="J188" s="25"/>
      <c r="K188" s="25"/>
      <c r="L188" s="25"/>
      <c r="M188" s="25"/>
      <c r="N188" s="25"/>
      <c r="P188" s="27"/>
      <c r="Q188" s="27"/>
      <c r="R188" s="27"/>
      <c r="S188" s="27"/>
      <c r="U188" s="27"/>
      <c r="V188" s="27"/>
      <c r="W188" s="27"/>
    </row>
    <row r="189" spans="5:23" x14ac:dyDescent="0.3">
      <c r="E189" s="25"/>
      <c r="F189" s="25"/>
      <c r="H189" s="25"/>
      <c r="I189" s="25"/>
      <c r="J189" s="25"/>
      <c r="K189" s="25"/>
      <c r="L189" s="25"/>
      <c r="M189" s="25"/>
      <c r="N189" s="25"/>
      <c r="P189" s="27"/>
      <c r="Q189" s="27"/>
      <c r="R189" s="27"/>
      <c r="S189" s="27"/>
      <c r="U189" s="27"/>
      <c r="V189" s="27"/>
      <c r="W189" s="27"/>
    </row>
    <row r="190" spans="5:23" x14ac:dyDescent="0.3">
      <c r="E190" s="25"/>
      <c r="F190" s="25"/>
      <c r="H190" s="25"/>
      <c r="I190" s="25"/>
      <c r="J190" s="25"/>
      <c r="K190" s="25"/>
      <c r="L190" s="25"/>
      <c r="M190" s="25"/>
      <c r="N190" s="25"/>
      <c r="P190" s="27"/>
      <c r="Q190" s="27"/>
      <c r="R190" s="27"/>
      <c r="S190" s="27"/>
      <c r="U190" s="27"/>
      <c r="V190" s="27"/>
      <c r="W190" s="27"/>
    </row>
    <row r="191" spans="5:23" x14ac:dyDescent="0.3">
      <c r="E191" s="25"/>
      <c r="F191" s="25"/>
      <c r="H191" s="25"/>
      <c r="I191" s="25"/>
      <c r="J191" s="25"/>
      <c r="K191" s="25"/>
      <c r="L191" s="25"/>
      <c r="M191" s="25"/>
      <c r="N191" s="25"/>
      <c r="P191" s="27"/>
      <c r="Q191" s="27"/>
      <c r="R191" s="27"/>
      <c r="S191" s="27"/>
      <c r="U191" s="27"/>
      <c r="V191" s="27"/>
      <c r="W191" s="27"/>
    </row>
    <row r="192" spans="5:23" x14ac:dyDescent="0.3">
      <c r="E192" s="25"/>
      <c r="F192" s="25"/>
      <c r="H192" s="25"/>
      <c r="I192" s="25"/>
      <c r="J192" s="25"/>
      <c r="K192" s="25"/>
      <c r="L192" s="25"/>
      <c r="M192" s="25"/>
      <c r="N192" s="25"/>
      <c r="P192" s="27"/>
      <c r="Q192" s="27"/>
      <c r="R192" s="27"/>
      <c r="S192" s="27"/>
      <c r="U192" s="27"/>
      <c r="V192" s="27"/>
      <c r="W192" s="27"/>
    </row>
    <row r="193" spans="5:23" x14ac:dyDescent="0.3">
      <c r="E193" s="25"/>
      <c r="F193" s="25"/>
      <c r="H193" s="25"/>
      <c r="I193" s="25"/>
      <c r="J193" s="25"/>
      <c r="K193" s="25"/>
      <c r="L193" s="25"/>
      <c r="M193" s="25"/>
      <c r="N193" s="25"/>
      <c r="P193" s="27"/>
      <c r="Q193" s="27"/>
      <c r="R193" s="27"/>
      <c r="S193" s="27"/>
      <c r="U193" s="27"/>
      <c r="V193" s="27"/>
      <c r="W193" s="27"/>
    </row>
    <row r="194" spans="5:23" x14ac:dyDescent="0.3">
      <c r="E194" s="25"/>
      <c r="F194" s="25"/>
      <c r="H194" s="25"/>
      <c r="I194" s="25"/>
      <c r="J194" s="25"/>
      <c r="K194" s="25"/>
      <c r="L194" s="25"/>
      <c r="M194" s="25"/>
      <c r="N194" s="25"/>
      <c r="P194" s="27"/>
      <c r="Q194" s="27"/>
      <c r="R194" s="27"/>
      <c r="S194" s="27"/>
      <c r="U194" s="27"/>
      <c r="V194" s="27"/>
      <c r="W194" s="27"/>
    </row>
    <row r="195" spans="5:23" x14ac:dyDescent="0.3">
      <c r="E195" s="25"/>
      <c r="F195" s="25"/>
      <c r="H195" s="25"/>
      <c r="I195" s="25"/>
      <c r="J195" s="25"/>
      <c r="K195" s="25"/>
      <c r="L195" s="25"/>
      <c r="M195" s="25"/>
      <c r="N195" s="25"/>
      <c r="P195" s="27"/>
      <c r="Q195" s="27"/>
      <c r="R195" s="27"/>
      <c r="S195" s="27"/>
      <c r="U195" s="27"/>
      <c r="V195" s="27"/>
      <c r="W195" s="27"/>
    </row>
    <row r="196" spans="5:23" x14ac:dyDescent="0.3">
      <c r="E196" s="25"/>
      <c r="F196" s="25"/>
      <c r="H196" s="25"/>
      <c r="I196" s="25"/>
      <c r="J196" s="25"/>
      <c r="K196" s="25"/>
      <c r="L196" s="25"/>
      <c r="M196" s="25"/>
      <c r="N196" s="25"/>
      <c r="P196" s="27"/>
      <c r="Q196" s="27"/>
      <c r="R196" s="27"/>
      <c r="S196" s="27"/>
      <c r="U196" s="27"/>
      <c r="V196" s="27"/>
      <c r="W196" s="27"/>
    </row>
    <row r="197" spans="5:23" x14ac:dyDescent="0.3">
      <c r="E197" s="25"/>
      <c r="F197" s="25"/>
      <c r="H197" s="25"/>
      <c r="I197" s="25"/>
      <c r="J197" s="25"/>
      <c r="K197" s="25"/>
      <c r="L197" s="25"/>
      <c r="M197" s="25"/>
      <c r="N197" s="25"/>
      <c r="P197" s="27"/>
      <c r="Q197" s="27"/>
      <c r="R197" s="27"/>
      <c r="S197" s="27"/>
      <c r="U197" s="27"/>
      <c r="V197" s="27"/>
      <c r="W197" s="27"/>
    </row>
    <row r="198" spans="5:23" x14ac:dyDescent="0.3">
      <c r="E198" s="25"/>
      <c r="F198" s="25"/>
      <c r="H198" s="25"/>
      <c r="I198" s="25"/>
      <c r="J198" s="25"/>
      <c r="K198" s="25"/>
      <c r="L198" s="25"/>
      <c r="M198" s="25"/>
      <c r="N198" s="25"/>
      <c r="P198" s="27"/>
      <c r="Q198" s="27"/>
      <c r="R198" s="27"/>
      <c r="S198" s="27"/>
      <c r="U198" s="27"/>
      <c r="V198" s="27"/>
      <c r="W198" s="27"/>
    </row>
    <row r="199" spans="5:23" x14ac:dyDescent="0.3">
      <c r="E199" s="25"/>
      <c r="F199" s="25"/>
      <c r="H199" s="25"/>
      <c r="I199" s="25"/>
      <c r="J199" s="25"/>
      <c r="K199" s="25"/>
      <c r="L199" s="25"/>
      <c r="M199" s="25"/>
      <c r="N199" s="25"/>
      <c r="P199" s="27"/>
      <c r="Q199" s="27"/>
      <c r="R199" s="27"/>
      <c r="S199" s="27"/>
      <c r="U199" s="27"/>
      <c r="V199" s="27"/>
      <c r="W199" s="27"/>
    </row>
    <row r="200" spans="5:23" x14ac:dyDescent="0.3">
      <c r="E200" s="25"/>
      <c r="F200" s="25"/>
      <c r="H200" s="25"/>
      <c r="I200" s="25"/>
      <c r="J200" s="25"/>
      <c r="K200" s="25"/>
      <c r="L200" s="25"/>
      <c r="M200" s="25"/>
      <c r="N200" s="25"/>
      <c r="P200" s="27"/>
      <c r="Q200" s="27"/>
      <c r="R200" s="27"/>
      <c r="S200" s="27"/>
      <c r="U200" s="27"/>
      <c r="V200" s="27"/>
      <c r="W200" s="27"/>
    </row>
    <row r="201" spans="5:23" x14ac:dyDescent="0.3">
      <c r="E201" s="25"/>
      <c r="F201" s="25"/>
      <c r="H201" s="25"/>
      <c r="I201" s="25"/>
      <c r="J201" s="25"/>
      <c r="K201" s="25"/>
      <c r="L201" s="25"/>
      <c r="M201" s="25"/>
      <c r="N201" s="25"/>
      <c r="P201" s="27"/>
      <c r="Q201" s="27"/>
      <c r="R201" s="27"/>
      <c r="S201" s="27"/>
      <c r="U201" s="27"/>
      <c r="V201" s="27"/>
      <c r="W201" s="27"/>
    </row>
    <row r="202" spans="5:23" x14ac:dyDescent="0.3">
      <c r="E202" s="25"/>
      <c r="F202" s="25"/>
      <c r="H202" s="25"/>
      <c r="I202" s="25"/>
      <c r="J202" s="25"/>
      <c r="K202" s="25"/>
      <c r="L202" s="25"/>
      <c r="M202" s="25"/>
      <c r="N202" s="25"/>
      <c r="P202" s="27"/>
      <c r="Q202" s="27"/>
      <c r="R202" s="27"/>
      <c r="S202" s="27"/>
      <c r="U202" s="27"/>
      <c r="V202" s="27"/>
      <c r="W202" s="27"/>
    </row>
    <row r="203" spans="5:23" x14ac:dyDescent="0.3">
      <c r="E203" s="25"/>
      <c r="F203" s="25"/>
      <c r="H203" s="25"/>
      <c r="I203" s="25"/>
      <c r="J203" s="25"/>
      <c r="K203" s="25"/>
      <c r="L203" s="25"/>
      <c r="M203" s="25"/>
      <c r="N203" s="25"/>
      <c r="P203" s="27"/>
      <c r="Q203" s="27"/>
      <c r="R203" s="27"/>
      <c r="S203" s="27"/>
      <c r="U203" s="27"/>
      <c r="V203" s="27"/>
      <c r="W203" s="27"/>
    </row>
    <row r="204" spans="5:23" x14ac:dyDescent="0.3">
      <c r="E204" s="25"/>
      <c r="F204" s="25"/>
      <c r="H204" s="25"/>
      <c r="I204" s="25"/>
      <c r="J204" s="25"/>
      <c r="K204" s="25"/>
      <c r="L204" s="25"/>
      <c r="M204" s="25"/>
      <c r="N204" s="25"/>
      <c r="P204" s="27"/>
      <c r="Q204" s="27"/>
      <c r="R204" s="27"/>
      <c r="S204" s="27"/>
      <c r="U204" s="27"/>
      <c r="V204" s="27"/>
      <c r="W204" s="27"/>
    </row>
    <row r="205" spans="5:23" x14ac:dyDescent="0.3">
      <c r="E205" s="25"/>
      <c r="F205" s="25"/>
      <c r="H205" s="25"/>
      <c r="I205" s="25"/>
      <c r="J205" s="25"/>
      <c r="K205" s="25"/>
      <c r="L205" s="25"/>
      <c r="M205" s="25"/>
      <c r="N205" s="25"/>
      <c r="P205" s="27"/>
      <c r="Q205" s="27"/>
      <c r="R205" s="27"/>
      <c r="S205" s="27"/>
      <c r="U205" s="27"/>
      <c r="V205" s="27"/>
      <c r="W205" s="27"/>
    </row>
    <row r="206" spans="5:23" x14ac:dyDescent="0.3">
      <c r="E206" s="25"/>
      <c r="F206" s="25"/>
      <c r="H206" s="25"/>
      <c r="I206" s="25"/>
      <c r="J206" s="25"/>
      <c r="K206" s="25"/>
      <c r="L206" s="25"/>
      <c r="M206" s="25"/>
      <c r="N206" s="25"/>
      <c r="P206" s="27"/>
      <c r="Q206" s="27"/>
      <c r="R206" s="27"/>
      <c r="S206" s="27"/>
      <c r="U206" s="27"/>
      <c r="V206" s="27"/>
      <c r="W206" s="27"/>
    </row>
    <row r="207" spans="5:23" x14ac:dyDescent="0.3">
      <c r="E207" s="25"/>
      <c r="F207" s="25"/>
      <c r="H207" s="25"/>
      <c r="I207" s="25"/>
      <c r="J207" s="25"/>
      <c r="K207" s="25"/>
      <c r="L207" s="25"/>
      <c r="M207" s="25"/>
      <c r="N207" s="25"/>
      <c r="P207" s="27"/>
      <c r="Q207" s="27"/>
      <c r="R207" s="27"/>
      <c r="S207" s="27"/>
      <c r="U207" s="27"/>
      <c r="V207" s="27"/>
      <c r="W207" s="27"/>
    </row>
    <row r="208" spans="5:23" x14ac:dyDescent="0.3">
      <c r="E208" s="25"/>
      <c r="F208" s="25"/>
      <c r="H208" s="25"/>
      <c r="I208" s="25"/>
      <c r="J208" s="25"/>
      <c r="K208" s="25"/>
      <c r="L208" s="25"/>
      <c r="M208" s="25"/>
      <c r="N208" s="25"/>
      <c r="P208" s="27"/>
      <c r="Q208" s="27"/>
      <c r="R208" s="27"/>
      <c r="S208" s="27"/>
      <c r="U208" s="27"/>
      <c r="V208" s="27"/>
      <c r="W208" s="27"/>
    </row>
    <row r="209" spans="5:23" x14ac:dyDescent="0.3">
      <c r="E209" s="25"/>
      <c r="F209" s="25"/>
      <c r="H209" s="25"/>
      <c r="I209" s="25"/>
      <c r="J209" s="25"/>
      <c r="K209" s="25"/>
      <c r="L209" s="25"/>
      <c r="M209" s="25"/>
      <c r="N209" s="25"/>
      <c r="P209" s="27"/>
      <c r="Q209" s="27"/>
      <c r="R209" s="27"/>
      <c r="S209" s="27"/>
      <c r="U209" s="27"/>
      <c r="V209" s="27"/>
      <c r="W209" s="27"/>
    </row>
    <row r="210" spans="5:23" x14ac:dyDescent="0.3">
      <c r="E210" s="25"/>
      <c r="F210" s="25"/>
      <c r="H210" s="25"/>
      <c r="I210" s="25"/>
      <c r="J210" s="25"/>
      <c r="K210" s="25"/>
      <c r="L210" s="25"/>
      <c r="M210" s="25"/>
      <c r="N210" s="25"/>
      <c r="P210" s="27"/>
      <c r="Q210" s="27"/>
      <c r="R210" s="27"/>
      <c r="S210" s="27"/>
      <c r="U210" s="27"/>
      <c r="V210" s="27"/>
      <c r="W210" s="27"/>
    </row>
    <row r="211" spans="5:23" x14ac:dyDescent="0.3">
      <c r="E211" s="25"/>
      <c r="F211" s="25"/>
      <c r="H211" s="25"/>
      <c r="I211" s="25"/>
      <c r="J211" s="25"/>
      <c r="K211" s="25"/>
      <c r="L211" s="25"/>
      <c r="M211" s="25"/>
      <c r="N211" s="25"/>
      <c r="P211" s="27"/>
      <c r="Q211" s="27"/>
      <c r="R211" s="27"/>
      <c r="S211" s="27"/>
      <c r="U211" s="27"/>
      <c r="V211" s="27"/>
      <c r="W211" s="27"/>
    </row>
    <row r="212" spans="5:23" x14ac:dyDescent="0.3">
      <c r="E212" s="25"/>
      <c r="F212" s="25"/>
      <c r="H212" s="25"/>
      <c r="I212" s="25"/>
      <c r="J212" s="25"/>
      <c r="K212" s="25"/>
      <c r="L212" s="25"/>
      <c r="M212" s="25"/>
      <c r="N212" s="25"/>
      <c r="P212" s="27"/>
      <c r="Q212" s="27"/>
      <c r="R212" s="27"/>
      <c r="S212" s="27"/>
      <c r="U212" s="27"/>
      <c r="V212" s="27"/>
      <c r="W212" s="27"/>
    </row>
    <row r="213" spans="5:23" x14ac:dyDescent="0.3">
      <c r="E213" s="25"/>
      <c r="F213" s="25"/>
      <c r="H213" s="25"/>
      <c r="I213" s="25"/>
      <c r="J213" s="25"/>
      <c r="K213" s="25"/>
      <c r="L213" s="25"/>
      <c r="M213" s="25"/>
      <c r="N213" s="25"/>
      <c r="P213" s="27"/>
      <c r="Q213" s="27"/>
      <c r="R213" s="27"/>
      <c r="S213" s="27"/>
      <c r="U213" s="27"/>
      <c r="V213" s="27"/>
      <c r="W213" s="27"/>
    </row>
    <row r="214" spans="5:23" x14ac:dyDescent="0.3">
      <c r="E214" s="25"/>
      <c r="F214" s="25"/>
      <c r="H214" s="25"/>
      <c r="I214" s="25"/>
      <c r="J214" s="25"/>
      <c r="K214" s="25"/>
      <c r="L214" s="25"/>
      <c r="M214" s="25"/>
      <c r="N214" s="25"/>
      <c r="P214" s="27"/>
      <c r="Q214" s="27"/>
      <c r="R214" s="27"/>
      <c r="S214" s="27"/>
      <c r="U214" s="27"/>
      <c r="V214" s="27"/>
      <c r="W214" s="27"/>
    </row>
    <row r="215" spans="5:23" x14ac:dyDescent="0.3">
      <c r="E215" s="25"/>
      <c r="F215" s="25"/>
      <c r="H215" s="25"/>
      <c r="I215" s="25"/>
      <c r="J215" s="25"/>
      <c r="K215" s="25"/>
      <c r="L215" s="25"/>
      <c r="M215" s="25"/>
      <c r="N215" s="25"/>
      <c r="P215" s="27"/>
      <c r="Q215" s="27"/>
      <c r="R215" s="27"/>
      <c r="S215" s="27"/>
      <c r="U215" s="27"/>
      <c r="V215" s="27"/>
      <c r="W215" s="27"/>
    </row>
    <row r="216" spans="5:23" x14ac:dyDescent="0.3">
      <c r="E216" s="25"/>
      <c r="F216" s="25"/>
      <c r="H216" s="25"/>
      <c r="I216" s="25"/>
      <c r="J216" s="25"/>
      <c r="K216" s="25"/>
      <c r="L216" s="25"/>
      <c r="M216" s="25"/>
      <c r="N216" s="25"/>
      <c r="P216" s="27"/>
      <c r="Q216" s="27"/>
      <c r="R216" s="27"/>
      <c r="S216" s="27"/>
      <c r="U216" s="27"/>
      <c r="V216" s="27"/>
      <c r="W216" s="27"/>
    </row>
    <row r="217" spans="5:23" x14ac:dyDescent="0.3">
      <c r="E217" s="25"/>
      <c r="F217" s="25"/>
      <c r="H217" s="25"/>
      <c r="I217" s="25"/>
      <c r="J217" s="25"/>
      <c r="K217" s="25"/>
      <c r="L217" s="25"/>
      <c r="M217" s="25"/>
      <c r="N217" s="25"/>
      <c r="P217" s="27"/>
      <c r="Q217" s="27"/>
      <c r="R217" s="27"/>
      <c r="S217" s="27"/>
      <c r="U217" s="27"/>
      <c r="V217" s="27"/>
      <c r="W217" s="27"/>
    </row>
    <row r="218" spans="5:23" x14ac:dyDescent="0.3">
      <c r="E218" s="25"/>
      <c r="F218" s="25"/>
      <c r="H218" s="25"/>
      <c r="I218" s="25"/>
      <c r="J218" s="25"/>
      <c r="K218" s="25"/>
      <c r="L218" s="25"/>
      <c r="M218" s="25"/>
      <c r="N218" s="25"/>
      <c r="P218" s="27"/>
      <c r="Q218" s="27"/>
      <c r="R218" s="27"/>
      <c r="S218" s="27"/>
      <c r="U218" s="27"/>
      <c r="V218" s="27"/>
      <c r="W218" s="27"/>
    </row>
    <row r="219" spans="5:23" x14ac:dyDescent="0.3">
      <c r="E219" s="25"/>
      <c r="F219" s="25"/>
      <c r="H219" s="25"/>
      <c r="I219" s="25"/>
      <c r="J219" s="25"/>
      <c r="K219" s="25"/>
      <c r="L219" s="25"/>
      <c r="M219" s="25"/>
      <c r="N219" s="25"/>
      <c r="P219" s="27"/>
      <c r="Q219" s="27"/>
      <c r="R219" s="27"/>
      <c r="S219" s="27"/>
      <c r="U219" s="27"/>
      <c r="V219" s="27"/>
      <c r="W219" s="27"/>
    </row>
    <row r="220" spans="5:23" x14ac:dyDescent="0.3">
      <c r="E220" s="25"/>
      <c r="F220" s="25"/>
      <c r="H220" s="25"/>
      <c r="I220" s="25"/>
      <c r="J220" s="25"/>
      <c r="K220" s="25"/>
      <c r="L220" s="25"/>
      <c r="M220" s="25"/>
      <c r="N220" s="25"/>
      <c r="P220" s="27"/>
      <c r="Q220" s="27"/>
      <c r="R220" s="27"/>
      <c r="S220" s="27"/>
      <c r="U220" s="27"/>
      <c r="V220" s="27"/>
      <c r="W220" s="27"/>
    </row>
    <row r="221" spans="5:23" x14ac:dyDescent="0.3">
      <c r="E221" s="25"/>
      <c r="F221" s="25"/>
      <c r="H221" s="25"/>
      <c r="I221" s="25"/>
      <c r="J221" s="25"/>
      <c r="K221" s="25"/>
      <c r="L221" s="25"/>
      <c r="M221" s="25"/>
      <c r="N221" s="25"/>
      <c r="P221" s="27"/>
      <c r="Q221" s="27"/>
      <c r="R221" s="27"/>
      <c r="S221" s="27"/>
      <c r="U221" s="27"/>
      <c r="V221" s="27"/>
      <c r="W221" s="27"/>
    </row>
    <row r="222" spans="5:23" x14ac:dyDescent="0.3">
      <c r="E222" s="25"/>
      <c r="F222" s="25"/>
      <c r="H222" s="25"/>
      <c r="I222" s="25"/>
      <c r="J222" s="25"/>
      <c r="K222" s="25"/>
      <c r="L222" s="25"/>
      <c r="M222" s="25"/>
      <c r="N222" s="25"/>
      <c r="P222" s="27"/>
      <c r="Q222" s="27"/>
      <c r="R222" s="27"/>
      <c r="S222" s="27"/>
      <c r="U222" s="27"/>
      <c r="V222" s="27"/>
      <c r="W222" s="27"/>
    </row>
    <row r="223" spans="5:23" x14ac:dyDescent="0.3">
      <c r="E223" s="25"/>
      <c r="F223" s="25"/>
      <c r="H223" s="25"/>
      <c r="I223" s="25"/>
      <c r="J223" s="25"/>
      <c r="K223" s="25"/>
      <c r="L223" s="25"/>
      <c r="M223" s="25"/>
      <c r="N223" s="25"/>
      <c r="P223" s="27"/>
      <c r="Q223" s="27"/>
      <c r="R223" s="27"/>
      <c r="S223" s="27"/>
      <c r="U223" s="27"/>
      <c r="V223" s="27"/>
      <c r="W223" s="27"/>
    </row>
    <row r="224" spans="5:23" x14ac:dyDescent="0.3">
      <c r="E224" s="25"/>
      <c r="F224" s="25"/>
      <c r="H224" s="25"/>
      <c r="I224" s="25"/>
      <c r="J224" s="25"/>
      <c r="K224" s="25"/>
      <c r="L224" s="25"/>
      <c r="M224" s="25"/>
      <c r="N224" s="25"/>
      <c r="P224" s="27"/>
      <c r="Q224" s="27"/>
      <c r="R224" s="27"/>
      <c r="S224" s="27"/>
      <c r="U224" s="27"/>
      <c r="V224" s="27"/>
      <c r="W224" s="27"/>
    </row>
    <row r="225" spans="5:23" x14ac:dyDescent="0.3">
      <c r="E225" s="25"/>
      <c r="F225" s="25"/>
      <c r="H225" s="25"/>
      <c r="I225" s="25"/>
      <c r="J225" s="25"/>
      <c r="K225" s="25"/>
      <c r="L225" s="25"/>
      <c r="M225" s="25"/>
      <c r="N225" s="25"/>
      <c r="P225" s="27"/>
      <c r="Q225" s="27"/>
      <c r="R225" s="27"/>
      <c r="S225" s="27"/>
      <c r="U225" s="27"/>
      <c r="V225" s="27"/>
      <c r="W225" s="27"/>
    </row>
    <row r="226" spans="5:23" x14ac:dyDescent="0.3">
      <c r="E226" s="25"/>
      <c r="F226" s="25"/>
      <c r="H226" s="25"/>
      <c r="I226" s="25"/>
      <c r="J226" s="25"/>
      <c r="K226" s="25"/>
      <c r="L226" s="25"/>
      <c r="M226" s="25"/>
      <c r="N226" s="25"/>
      <c r="P226" s="27"/>
      <c r="Q226" s="27"/>
      <c r="R226" s="27"/>
      <c r="S226" s="27"/>
      <c r="U226" s="27"/>
      <c r="V226" s="27"/>
      <c r="W226" s="27"/>
    </row>
    <row r="227" spans="5:23" x14ac:dyDescent="0.3">
      <c r="E227" s="25"/>
      <c r="F227" s="25"/>
      <c r="H227" s="25"/>
      <c r="I227" s="25"/>
      <c r="J227" s="25"/>
      <c r="K227" s="25"/>
      <c r="L227" s="25"/>
      <c r="M227" s="25"/>
      <c r="N227" s="25"/>
      <c r="P227" s="27"/>
      <c r="Q227" s="27"/>
      <c r="R227" s="27"/>
      <c r="S227" s="27"/>
      <c r="U227" s="27"/>
      <c r="V227" s="27"/>
      <c r="W227" s="27"/>
    </row>
    <row r="228" spans="5:23" x14ac:dyDescent="0.3">
      <c r="E228" s="25"/>
      <c r="F228" s="25"/>
      <c r="H228" s="25"/>
      <c r="I228" s="25"/>
      <c r="J228" s="25"/>
      <c r="K228" s="25"/>
      <c r="L228" s="25"/>
      <c r="M228" s="25"/>
      <c r="N228" s="25"/>
      <c r="P228" s="27"/>
      <c r="Q228" s="27"/>
      <c r="R228" s="27"/>
      <c r="S228" s="27"/>
      <c r="U228" s="27"/>
      <c r="V228" s="27"/>
      <c r="W228" s="27"/>
    </row>
    <row r="229" spans="5:23" x14ac:dyDescent="0.3">
      <c r="E229" s="25"/>
      <c r="F229" s="25"/>
      <c r="H229" s="25"/>
      <c r="I229" s="25"/>
      <c r="J229" s="25"/>
      <c r="K229" s="25"/>
      <c r="L229" s="25"/>
      <c r="M229" s="25"/>
      <c r="N229" s="25"/>
      <c r="P229" s="27"/>
      <c r="Q229" s="27"/>
      <c r="R229" s="27"/>
      <c r="S229" s="27"/>
      <c r="U229" s="27"/>
      <c r="V229" s="27"/>
      <c r="W229" s="27"/>
    </row>
    <row r="230" spans="5:23" x14ac:dyDescent="0.3">
      <c r="E230" s="25"/>
      <c r="F230" s="25"/>
      <c r="H230" s="25"/>
      <c r="I230" s="25"/>
      <c r="J230" s="25"/>
      <c r="K230" s="25"/>
      <c r="L230" s="25"/>
      <c r="M230" s="25"/>
      <c r="N230" s="25"/>
      <c r="P230" s="27"/>
      <c r="Q230" s="27"/>
      <c r="R230" s="27"/>
      <c r="S230" s="27"/>
      <c r="U230" s="27"/>
      <c r="V230" s="27"/>
      <c r="W230" s="27"/>
    </row>
    <row r="231" spans="5:23" x14ac:dyDescent="0.3">
      <c r="E231" s="25"/>
      <c r="F231" s="25"/>
      <c r="H231" s="25"/>
      <c r="I231" s="25"/>
      <c r="J231" s="25"/>
      <c r="K231" s="25"/>
      <c r="L231" s="25"/>
      <c r="M231" s="25"/>
      <c r="N231" s="25"/>
      <c r="P231" s="27"/>
      <c r="Q231" s="27"/>
      <c r="R231" s="27"/>
      <c r="S231" s="27"/>
      <c r="U231" s="27"/>
      <c r="V231" s="27"/>
      <c r="W231" s="27"/>
    </row>
    <row r="232" spans="5:23" x14ac:dyDescent="0.3">
      <c r="E232" s="25"/>
      <c r="F232" s="25"/>
      <c r="H232" s="25"/>
      <c r="I232" s="25"/>
      <c r="J232" s="25"/>
      <c r="K232" s="25"/>
      <c r="L232" s="25"/>
      <c r="M232" s="25"/>
      <c r="N232" s="25"/>
      <c r="P232" s="27"/>
      <c r="Q232" s="27"/>
      <c r="R232" s="27"/>
      <c r="S232" s="27"/>
      <c r="U232" s="27"/>
      <c r="V232" s="27"/>
      <c r="W232" s="27"/>
    </row>
    <row r="233" spans="5:23" x14ac:dyDescent="0.3">
      <c r="E233" s="25"/>
      <c r="F233" s="25"/>
      <c r="H233" s="25"/>
      <c r="I233" s="25"/>
      <c r="J233" s="25"/>
      <c r="K233" s="25"/>
      <c r="L233" s="25"/>
      <c r="M233" s="25"/>
      <c r="N233" s="25"/>
      <c r="P233" s="27"/>
      <c r="Q233" s="27"/>
      <c r="R233" s="27"/>
      <c r="S233" s="27"/>
      <c r="U233" s="27"/>
      <c r="V233" s="27"/>
      <c r="W233" s="27"/>
    </row>
    <row r="234" spans="5:23" x14ac:dyDescent="0.3">
      <c r="E234" s="25"/>
      <c r="F234" s="25"/>
      <c r="H234" s="25"/>
      <c r="I234" s="25"/>
      <c r="J234" s="25"/>
      <c r="K234" s="25"/>
      <c r="L234" s="25"/>
      <c r="M234" s="25"/>
      <c r="N234" s="25"/>
      <c r="P234" s="27"/>
      <c r="Q234" s="27"/>
      <c r="R234" s="27"/>
      <c r="S234" s="27"/>
      <c r="U234" s="27"/>
      <c r="V234" s="27"/>
      <c r="W234" s="27"/>
    </row>
    <row r="235" spans="5:23" x14ac:dyDescent="0.3">
      <c r="E235" s="25"/>
      <c r="F235" s="25"/>
      <c r="H235" s="25"/>
      <c r="I235" s="25"/>
      <c r="J235" s="25"/>
      <c r="K235" s="25"/>
      <c r="L235" s="25"/>
      <c r="M235" s="25"/>
      <c r="N235" s="25"/>
      <c r="P235" s="27"/>
      <c r="Q235" s="27"/>
      <c r="R235" s="27"/>
      <c r="S235" s="27"/>
      <c r="U235" s="27"/>
      <c r="V235" s="27"/>
      <c r="W235" s="27"/>
    </row>
    <row r="236" spans="5:23" x14ac:dyDescent="0.3">
      <c r="E236" s="25"/>
      <c r="F236" s="25"/>
      <c r="H236" s="25"/>
      <c r="I236" s="25"/>
      <c r="J236" s="25"/>
      <c r="K236" s="25"/>
      <c r="L236" s="25"/>
      <c r="M236" s="25"/>
      <c r="N236" s="25"/>
      <c r="P236" s="27"/>
      <c r="Q236" s="27"/>
      <c r="R236" s="27"/>
      <c r="S236" s="27"/>
      <c r="U236" s="27"/>
      <c r="V236" s="27"/>
      <c r="W236" s="27"/>
    </row>
    <row r="237" spans="5:23" x14ac:dyDescent="0.3">
      <c r="E237" s="25"/>
      <c r="F237" s="25"/>
      <c r="H237" s="25"/>
      <c r="I237" s="25"/>
      <c r="J237" s="25"/>
      <c r="K237" s="25"/>
      <c r="L237" s="25"/>
      <c r="M237" s="25"/>
      <c r="N237" s="25"/>
      <c r="P237" s="27"/>
      <c r="Q237" s="27"/>
      <c r="R237" s="27"/>
      <c r="S237" s="27"/>
      <c r="U237" s="27"/>
      <c r="V237" s="27"/>
      <c r="W237" s="27"/>
    </row>
    <row r="238" spans="5:23" x14ac:dyDescent="0.3">
      <c r="E238" s="25"/>
      <c r="F238" s="25"/>
      <c r="H238" s="25"/>
      <c r="I238" s="25"/>
      <c r="J238" s="25"/>
      <c r="K238" s="25"/>
      <c r="L238" s="25"/>
      <c r="M238" s="25"/>
      <c r="N238" s="25"/>
      <c r="P238" s="27"/>
      <c r="Q238" s="27"/>
      <c r="R238" s="27"/>
      <c r="S238" s="27"/>
      <c r="U238" s="27"/>
      <c r="V238" s="27"/>
      <c r="W238" s="27"/>
    </row>
    <row r="239" spans="5:23" x14ac:dyDescent="0.3">
      <c r="E239" s="25"/>
      <c r="F239" s="25"/>
      <c r="H239" s="25"/>
      <c r="I239" s="25"/>
      <c r="J239" s="25"/>
      <c r="K239" s="25"/>
      <c r="L239" s="25"/>
      <c r="M239" s="25"/>
      <c r="N239" s="25"/>
      <c r="P239" s="27"/>
      <c r="Q239" s="27"/>
      <c r="R239" s="27"/>
      <c r="S239" s="27"/>
      <c r="U239" s="27"/>
      <c r="V239" s="27"/>
      <c r="W239" s="27"/>
    </row>
    <row r="240" spans="5:23" x14ac:dyDescent="0.3">
      <c r="E240" s="25"/>
      <c r="F240" s="25"/>
      <c r="H240" s="25"/>
      <c r="I240" s="25"/>
      <c r="J240" s="25"/>
      <c r="K240" s="25"/>
      <c r="L240" s="25"/>
      <c r="M240" s="25"/>
      <c r="N240" s="25"/>
      <c r="P240" s="27"/>
      <c r="Q240" s="27"/>
      <c r="R240" s="27"/>
      <c r="S240" s="27"/>
      <c r="U240" s="27"/>
      <c r="V240" s="27"/>
      <c r="W240" s="27"/>
    </row>
    <row r="241" spans="5:23" x14ac:dyDescent="0.3">
      <c r="E241" s="25"/>
      <c r="F241" s="25"/>
      <c r="H241" s="25"/>
      <c r="I241" s="25"/>
      <c r="J241" s="25"/>
      <c r="K241" s="25"/>
      <c r="L241" s="25"/>
      <c r="M241" s="25"/>
      <c r="N241" s="25"/>
      <c r="P241" s="27"/>
      <c r="Q241" s="27"/>
      <c r="R241" s="27"/>
      <c r="S241" s="27"/>
      <c r="U241" s="27"/>
      <c r="V241" s="27"/>
      <c r="W241" s="27"/>
    </row>
    <row r="242" spans="5:23" x14ac:dyDescent="0.3">
      <c r="E242" s="25"/>
      <c r="F242" s="25"/>
      <c r="H242" s="25"/>
      <c r="I242" s="25"/>
      <c r="J242" s="25"/>
      <c r="K242" s="25"/>
      <c r="L242" s="25"/>
      <c r="M242" s="25"/>
      <c r="N242" s="25"/>
      <c r="P242" s="27"/>
      <c r="Q242" s="27"/>
      <c r="R242" s="27"/>
      <c r="S242" s="27"/>
      <c r="U242" s="27"/>
      <c r="V242" s="27"/>
      <c r="W242" s="27"/>
    </row>
    <row r="243" spans="5:23" x14ac:dyDescent="0.3">
      <c r="E243" s="25"/>
      <c r="F243" s="25"/>
      <c r="H243" s="25"/>
      <c r="I243" s="25"/>
      <c r="J243" s="25"/>
      <c r="K243" s="25"/>
      <c r="L243" s="25"/>
      <c r="M243" s="25"/>
      <c r="N243" s="25"/>
      <c r="P243" s="27"/>
      <c r="Q243" s="27"/>
      <c r="R243" s="27"/>
      <c r="S243" s="27"/>
      <c r="U243" s="27"/>
      <c r="V243" s="27"/>
      <c r="W243" s="27"/>
    </row>
    <row r="244" spans="5:23" x14ac:dyDescent="0.3">
      <c r="E244" s="25"/>
      <c r="F244" s="25"/>
      <c r="H244" s="25"/>
      <c r="I244" s="25"/>
      <c r="J244" s="25"/>
      <c r="K244" s="25"/>
      <c r="L244" s="25"/>
      <c r="M244" s="25"/>
      <c r="N244" s="25"/>
      <c r="P244" s="27"/>
      <c r="Q244" s="27"/>
      <c r="R244" s="27"/>
      <c r="S244" s="27"/>
      <c r="U244" s="27"/>
      <c r="V244" s="27"/>
      <c r="W244" s="27"/>
    </row>
    <row r="245" spans="5:23" x14ac:dyDescent="0.3">
      <c r="E245" s="25"/>
      <c r="F245" s="25"/>
      <c r="H245" s="25"/>
      <c r="I245" s="25"/>
      <c r="J245" s="25"/>
      <c r="K245" s="25"/>
      <c r="L245" s="25"/>
      <c r="M245" s="25"/>
      <c r="N245" s="25"/>
      <c r="P245" s="27"/>
      <c r="Q245" s="27"/>
      <c r="R245" s="27"/>
      <c r="S245" s="27"/>
      <c r="U245" s="27"/>
      <c r="V245" s="27"/>
      <c r="W245" s="27"/>
    </row>
    <row r="246" spans="5:23" x14ac:dyDescent="0.3">
      <c r="E246" s="25"/>
      <c r="F246" s="25"/>
      <c r="H246" s="25"/>
      <c r="I246" s="25"/>
      <c r="J246" s="25"/>
      <c r="K246" s="25"/>
      <c r="L246" s="25"/>
      <c r="M246" s="25"/>
      <c r="N246" s="25"/>
      <c r="P246" s="27"/>
      <c r="Q246" s="27"/>
      <c r="R246" s="27"/>
      <c r="S246" s="27"/>
      <c r="U246" s="27"/>
      <c r="V246" s="27"/>
      <c r="W246" s="27"/>
    </row>
    <row r="247" spans="5:23" x14ac:dyDescent="0.3">
      <c r="E247" s="25"/>
      <c r="F247" s="25"/>
      <c r="H247" s="25"/>
      <c r="I247" s="25"/>
      <c r="J247" s="25"/>
      <c r="K247" s="25"/>
      <c r="L247" s="25"/>
      <c r="M247" s="25"/>
      <c r="N247" s="25"/>
      <c r="P247" s="27"/>
      <c r="Q247" s="27"/>
      <c r="R247" s="27"/>
      <c r="S247" s="27"/>
      <c r="U247" s="27"/>
      <c r="V247" s="27"/>
      <c r="W247" s="27"/>
    </row>
    <row r="248" spans="5:23" x14ac:dyDescent="0.3">
      <c r="E248" s="25"/>
      <c r="F248" s="25"/>
      <c r="H248" s="25"/>
      <c r="I248" s="25"/>
      <c r="J248" s="25"/>
      <c r="K248" s="25"/>
      <c r="L248" s="25"/>
      <c r="M248" s="25"/>
      <c r="N248" s="25"/>
      <c r="P248" s="27"/>
      <c r="Q248" s="27"/>
      <c r="R248" s="27"/>
      <c r="S248" s="27"/>
      <c r="U248" s="27"/>
      <c r="V248" s="27"/>
      <c r="W248" s="27"/>
    </row>
    <row r="249" spans="5:23" x14ac:dyDescent="0.3">
      <c r="E249" s="25"/>
      <c r="F249" s="25"/>
      <c r="H249" s="25"/>
      <c r="I249" s="25"/>
      <c r="J249" s="25"/>
      <c r="K249" s="25"/>
      <c r="L249" s="25"/>
      <c r="M249" s="25"/>
      <c r="N249" s="25"/>
      <c r="P249" s="27"/>
      <c r="Q249" s="27"/>
      <c r="R249" s="27"/>
      <c r="S249" s="27"/>
      <c r="U249" s="27"/>
      <c r="V249" s="27"/>
      <c r="W249" s="27"/>
    </row>
    <row r="250" spans="5:23" x14ac:dyDescent="0.3">
      <c r="E250" s="25"/>
      <c r="F250" s="25"/>
      <c r="H250" s="25"/>
      <c r="I250" s="25"/>
      <c r="J250" s="25"/>
      <c r="K250" s="25"/>
      <c r="L250" s="25"/>
      <c r="M250" s="25"/>
      <c r="N250" s="25"/>
      <c r="P250" s="27"/>
      <c r="Q250" s="27"/>
      <c r="R250" s="27"/>
      <c r="S250" s="27"/>
      <c r="U250" s="27"/>
      <c r="V250" s="27"/>
      <c r="W250" s="27"/>
    </row>
    <row r="251" spans="5:23" x14ac:dyDescent="0.3">
      <c r="E251" s="25"/>
      <c r="F251" s="25"/>
      <c r="H251" s="25"/>
      <c r="I251" s="25"/>
      <c r="J251" s="25"/>
      <c r="K251" s="25"/>
      <c r="L251" s="25"/>
      <c r="M251" s="25"/>
      <c r="N251" s="25"/>
      <c r="P251" s="27"/>
      <c r="Q251" s="27"/>
      <c r="R251" s="27"/>
      <c r="S251" s="27"/>
      <c r="U251" s="27"/>
      <c r="V251" s="27"/>
      <c r="W251" s="27"/>
    </row>
    <row r="252" spans="5:23" x14ac:dyDescent="0.3">
      <c r="E252" s="25"/>
      <c r="F252" s="25"/>
      <c r="H252" s="25"/>
      <c r="I252" s="25"/>
      <c r="J252" s="25"/>
      <c r="K252" s="25"/>
      <c r="L252" s="25"/>
      <c r="M252" s="25"/>
      <c r="N252" s="25"/>
      <c r="P252" s="27"/>
      <c r="Q252" s="27"/>
      <c r="R252" s="27"/>
      <c r="S252" s="27"/>
      <c r="U252" s="27"/>
      <c r="V252" s="27"/>
      <c r="W252" s="27"/>
    </row>
    <row r="253" spans="5:23" x14ac:dyDescent="0.3">
      <c r="E253" s="25"/>
      <c r="F253" s="25"/>
      <c r="H253" s="25"/>
      <c r="I253" s="25"/>
      <c r="J253" s="25"/>
      <c r="K253" s="25"/>
      <c r="L253" s="25"/>
      <c r="M253" s="25"/>
      <c r="N253" s="25"/>
      <c r="P253" s="27"/>
      <c r="Q253" s="27"/>
      <c r="R253" s="27"/>
      <c r="S253" s="27"/>
      <c r="U253" s="27"/>
      <c r="V253" s="27"/>
      <c r="W253" s="27"/>
    </row>
    <row r="254" spans="5:23" x14ac:dyDescent="0.3">
      <c r="E254" s="25"/>
      <c r="F254" s="25"/>
      <c r="H254" s="25"/>
      <c r="I254" s="25"/>
      <c r="J254" s="25"/>
      <c r="K254" s="25"/>
      <c r="L254" s="25"/>
      <c r="M254" s="25"/>
      <c r="N254" s="25"/>
      <c r="P254" s="27"/>
      <c r="Q254" s="27"/>
      <c r="R254" s="27"/>
      <c r="S254" s="27"/>
      <c r="U254" s="27"/>
      <c r="V254" s="27"/>
      <c r="W254" s="27"/>
    </row>
    <row r="255" spans="5:23" x14ac:dyDescent="0.3">
      <c r="E255" s="25"/>
      <c r="F255" s="25"/>
      <c r="H255" s="25"/>
      <c r="I255" s="25"/>
      <c r="J255" s="25"/>
      <c r="K255" s="25"/>
      <c r="L255" s="25"/>
      <c r="M255" s="25"/>
      <c r="N255" s="25"/>
      <c r="P255" s="27"/>
      <c r="Q255" s="27"/>
      <c r="R255" s="27"/>
      <c r="S255" s="27"/>
      <c r="U255" s="27"/>
      <c r="V255" s="27"/>
      <c r="W255" s="27"/>
    </row>
    <row r="256" spans="5:23" x14ac:dyDescent="0.3">
      <c r="E256" s="25"/>
      <c r="F256" s="25"/>
      <c r="H256" s="25"/>
      <c r="I256" s="25"/>
      <c r="J256" s="25"/>
      <c r="K256" s="25"/>
      <c r="L256" s="25"/>
      <c r="M256" s="25"/>
      <c r="N256" s="25"/>
      <c r="P256" s="27"/>
      <c r="Q256" s="27"/>
      <c r="R256" s="27"/>
      <c r="S256" s="27"/>
      <c r="U256" s="27"/>
      <c r="V256" s="27"/>
      <c r="W256" s="27"/>
    </row>
    <row r="257" spans="6:23" x14ac:dyDescent="0.3">
      <c r="F257" s="25"/>
      <c r="H257" s="25"/>
      <c r="I257" s="25"/>
      <c r="J257" s="25"/>
      <c r="K257" s="25"/>
      <c r="L257" s="25"/>
      <c r="M257" s="25"/>
      <c r="N257" s="25"/>
      <c r="P257" s="27"/>
      <c r="Q257" s="27"/>
      <c r="R257" s="27"/>
      <c r="S257" s="27"/>
      <c r="U257" s="27"/>
      <c r="V257" s="27"/>
      <c r="W257" s="27"/>
    </row>
    <row r="258" spans="6:23" x14ac:dyDescent="0.3">
      <c r="F258" s="25"/>
      <c r="H258" s="25"/>
      <c r="I258" s="25"/>
      <c r="J258" s="25"/>
      <c r="K258" s="25"/>
      <c r="L258" s="25"/>
      <c r="M258" s="25"/>
      <c r="N258" s="25"/>
      <c r="P258" s="27"/>
      <c r="Q258" s="27"/>
      <c r="R258" s="27"/>
      <c r="S258" s="27"/>
      <c r="U258" s="27"/>
      <c r="V258" s="27"/>
      <c r="W258" s="27"/>
    </row>
    <row r="259" spans="6:23" x14ac:dyDescent="0.3">
      <c r="F259" s="25"/>
      <c r="H259" s="25"/>
      <c r="I259" s="25"/>
      <c r="J259" s="25"/>
      <c r="K259" s="25"/>
      <c r="L259" s="25"/>
      <c r="M259" s="25"/>
      <c r="N259" s="25"/>
      <c r="P259" s="27"/>
      <c r="Q259" s="27"/>
      <c r="R259" s="27"/>
      <c r="S259" s="27"/>
      <c r="U259" s="27"/>
      <c r="V259" s="27"/>
      <c r="W259" s="27"/>
    </row>
    <row r="260" spans="6:23" x14ac:dyDescent="0.3">
      <c r="F260" s="25"/>
      <c r="H260" s="25"/>
      <c r="I260" s="25"/>
      <c r="J260" s="25"/>
      <c r="K260" s="25"/>
      <c r="L260" s="25"/>
      <c r="M260" s="25"/>
      <c r="N260" s="25"/>
      <c r="P260" s="27"/>
      <c r="Q260" s="27"/>
      <c r="R260" s="27"/>
      <c r="S260" s="27"/>
      <c r="U260" s="27"/>
      <c r="V260" s="27"/>
      <c r="W260" s="27"/>
    </row>
    <row r="261" spans="6:23" x14ac:dyDescent="0.3">
      <c r="F261" s="25"/>
      <c r="H261" s="25"/>
      <c r="I261" s="25"/>
      <c r="J261" s="25"/>
      <c r="K261" s="25"/>
      <c r="L261" s="25"/>
      <c r="M261" s="25"/>
      <c r="N261" s="25"/>
      <c r="P261" s="27"/>
      <c r="Q261" s="27"/>
      <c r="R261" s="27"/>
      <c r="S261" s="27"/>
      <c r="U261" s="27"/>
      <c r="V261" s="27"/>
      <c r="W261" s="27"/>
    </row>
    <row r="262" spans="6:23" x14ac:dyDescent="0.3">
      <c r="F262" s="25"/>
      <c r="H262" s="25"/>
      <c r="I262" s="25"/>
      <c r="J262" s="25"/>
      <c r="K262" s="25"/>
      <c r="L262" s="25"/>
      <c r="M262" s="25"/>
      <c r="N262" s="25"/>
      <c r="P262" s="27"/>
      <c r="Q262" s="27"/>
      <c r="R262" s="27"/>
      <c r="S262" s="27"/>
      <c r="U262" s="27"/>
      <c r="V262" s="27"/>
      <c r="W262" s="27"/>
    </row>
    <row r="263" spans="6:23" x14ac:dyDescent="0.3">
      <c r="F263" s="25"/>
      <c r="H263" s="25"/>
      <c r="I263" s="25"/>
      <c r="J263" s="25"/>
      <c r="K263" s="25"/>
      <c r="L263" s="25"/>
      <c r="M263" s="25"/>
      <c r="N263" s="25"/>
      <c r="P263" s="27"/>
      <c r="Q263" s="27"/>
      <c r="R263" s="27"/>
      <c r="S263" s="27"/>
      <c r="U263" s="27"/>
      <c r="V263" s="27"/>
      <c r="W263" s="27"/>
    </row>
    <row r="264" spans="6:23" x14ac:dyDescent="0.3">
      <c r="F264" s="25"/>
      <c r="H264" s="25"/>
      <c r="I264" s="25"/>
      <c r="J264" s="25"/>
      <c r="K264" s="25"/>
      <c r="L264" s="25"/>
      <c r="M264" s="25"/>
      <c r="N264" s="25"/>
      <c r="P264" s="27"/>
      <c r="Q264" s="27"/>
      <c r="R264" s="27"/>
      <c r="S264" s="27"/>
      <c r="U264" s="27"/>
      <c r="V264" s="27"/>
      <c r="W264" s="27"/>
    </row>
    <row r="265" spans="6:23" x14ac:dyDescent="0.3">
      <c r="F265" s="25"/>
      <c r="H265" s="25"/>
      <c r="I265" s="25"/>
      <c r="J265" s="25"/>
      <c r="K265" s="25"/>
      <c r="L265" s="25"/>
      <c r="M265" s="25"/>
      <c r="N265" s="25"/>
      <c r="P265" s="27"/>
      <c r="Q265" s="27"/>
      <c r="R265" s="27"/>
      <c r="S265" s="27"/>
      <c r="U265" s="27"/>
      <c r="V265" s="27"/>
      <c r="W265" s="27"/>
    </row>
    <row r="266" spans="6:23" x14ac:dyDescent="0.3">
      <c r="F266" s="25"/>
      <c r="H266" s="25"/>
      <c r="I266" s="25"/>
      <c r="J266" s="25"/>
      <c r="K266" s="25"/>
      <c r="L266" s="25"/>
      <c r="M266" s="25"/>
      <c r="N266" s="25"/>
      <c r="P266" s="27"/>
      <c r="Q266" s="27"/>
      <c r="R266" s="27"/>
      <c r="S266" s="27"/>
      <c r="U266" s="27"/>
      <c r="V266" s="27"/>
      <c r="W266" s="27"/>
    </row>
    <row r="267" spans="6:23" x14ac:dyDescent="0.3">
      <c r="F267" s="25"/>
      <c r="H267" s="25"/>
      <c r="I267" s="25"/>
      <c r="J267" s="25"/>
      <c r="K267" s="25"/>
      <c r="L267" s="25"/>
      <c r="M267" s="25"/>
      <c r="N267" s="25"/>
      <c r="P267" s="27"/>
      <c r="Q267" s="27"/>
      <c r="R267" s="27"/>
      <c r="S267" s="27"/>
      <c r="U267" s="27"/>
      <c r="V267" s="27"/>
      <c r="W267" s="27"/>
    </row>
    <row r="268" spans="6:23" x14ac:dyDescent="0.3">
      <c r="F268" s="25"/>
      <c r="H268" s="25"/>
      <c r="I268" s="25"/>
      <c r="J268" s="25"/>
      <c r="K268" s="25"/>
      <c r="L268" s="25"/>
      <c r="M268" s="25"/>
      <c r="N268" s="25"/>
      <c r="P268" s="27"/>
      <c r="Q268" s="27"/>
      <c r="R268" s="27"/>
      <c r="S268" s="27"/>
      <c r="U268" s="27"/>
      <c r="V268" s="27"/>
      <c r="W268" s="27"/>
    </row>
    <row r="269" spans="6:23" x14ac:dyDescent="0.3">
      <c r="F269" s="25"/>
      <c r="H269" s="25"/>
      <c r="I269" s="25"/>
      <c r="J269" s="25"/>
      <c r="K269" s="25"/>
      <c r="L269" s="25"/>
      <c r="M269" s="25"/>
      <c r="N269" s="25"/>
      <c r="P269" s="27"/>
      <c r="Q269" s="27"/>
      <c r="R269" s="27"/>
      <c r="S269" s="27"/>
      <c r="U269" s="27"/>
      <c r="V269" s="27"/>
      <c r="W269" s="27"/>
    </row>
    <row r="270" spans="6:23" x14ac:dyDescent="0.3">
      <c r="F270" s="25"/>
      <c r="H270" s="25"/>
      <c r="I270" s="25"/>
      <c r="J270" s="25"/>
      <c r="K270" s="25"/>
      <c r="L270" s="25"/>
      <c r="M270" s="25"/>
      <c r="N270" s="25"/>
      <c r="P270" s="27"/>
      <c r="Q270" s="27"/>
      <c r="R270" s="27"/>
      <c r="S270" s="27"/>
      <c r="U270" s="27"/>
      <c r="V270" s="27"/>
      <c r="W270" s="27"/>
    </row>
    <row r="271" spans="6:23" x14ac:dyDescent="0.3">
      <c r="F271" s="25"/>
      <c r="H271" s="25"/>
      <c r="I271" s="25"/>
      <c r="J271" s="25"/>
      <c r="K271" s="25"/>
      <c r="L271" s="25"/>
      <c r="M271" s="25"/>
      <c r="N271" s="25"/>
      <c r="P271" s="27"/>
      <c r="Q271" s="27"/>
      <c r="R271" s="27"/>
      <c r="S271" s="27"/>
      <c r="U271" s="27"/>
      <c r="V271" s="27"/>
      <c r="W271" s="27"/>
    </row>
    <row r="272" spans="6:23" x14ac:dyDescent="0.3">
      <c r="F272" s="25"/>
      <c r="H272" s="25"/>
      <c r="I272" s="25"/>
      <c r="J272" s="25"/>
      <c r="K272" s="25"/>
      <c r="L272" s="25"/>
      <c r="M272" s="25"/>
      <c r="N272" s="25"/>
      <c r="P272" s="27"/>
      <c r="Q272" s="27"/>
      <c r="R272" s="27"/>
      <c r="S272" s="27"/>
      <c r="U272" s="27"/>
      <c r="V272" s="27"/>
      <c r="W272" s="27"/>
    </row>
    <row r="273" spans="6:40" x14ac:dyDescent="0.3">
      <c r="F273" s="25"/>
      <c r="H273" s="25"/>
      <c r="I273" s="25"/>
      <c r="J273" s="25"/>
      <c r="K273" s="25"/>
      <c r="L273" s="25"/>
      <c r="M273" s="25"/>
      <c r="N273" s="25"/>
      <c r="P273" s="27"/>
      <c r="Q273" s="27"/>
      <c r="R273" s="27"/>
      <c r="S273" s="27"/>
      <c r="U273" s="27"/>
      <c r="V273" s="27"/>
      <c r="W273" s="27"/>
    </row>
    <row r="274" spans="6:40" x14ac:dyDescent="0.3">
      <c r="F274" s="25"/>
      <c r="H274" s="25"/>
      <c r="I274" s="25"/>
      <c r="J274" s="25"/>
      <c r="K274" s="25"/>
      <c r="L274" s="25"/>
      <c r="M274" s="25"/>
      <c r="N274" s="25"/>
      <c r="P274" s="27"/>
      <c r="Q274" s="27"/>
      <c r="R274" s="27"/>
      <c r="S274" s="27"/>
      <c r="U274" s="27"/>
      <c r="V274" s="27"/>
      <c r="W274" s="27"/>
    </row>
    <row r="275" spans="6:40" x14ac:dyDescent="0.3">
      <c r="AN275" s="58"/>
    </row>
  </sheetData>
  <mergeCells count="100">
    <mergeCell ref="B45:B46"/>
    <mergeCell ref="C45:C46"/>
    <mergeCell ref="E45:E46"/>
    <mergeCell ref="AD45:AD46"/>
    <mergeCell ref="AE45:AE46"/>
    <mergeCell ref="C33:C34"/>
    <mergeCell ref="C27:C29"/>
    <mergeCell ref="B42:B44"/>
    <mergeCell ref="B24:B26"/>
    <mergeCell ref="B27:B29"/>
    <mergeCell ref="B31:B32"/>
    <mergeCell ref="B33:B34"/>
    <mergeCell ref="B35:B37"/>
    <mergeCell ref="B38:B40"/>
    <mergeCell ref="C31:C32"/>
    <mergeCell ref="C42:C44"/>
    <mergeCell ref="C38:C40"/>
    <mergeCell ref="C35:C37"/>
    <mergeCell ref="B9:B11"/>
    <mergeCell ref="B12:B14"/>
    <mergeCell ref="B15:B17"/>
    <mergeCell ref="B18:B20"/>
    <mergeCell ref="B21:B23"/>
    <mergeCell ref="C9:C11"/>
    <mergeCell ref="C21:C23"/>
    <mergeCell ref="C15:C17"/>
    <mergeCell ref="C18:C20"/>
    <mergeCell ref="C24:C26"/>
    <mergeCell ref="C12:C14"/>
    <mergeCell ref="AN7:AN8"/>
    <mergeCell ref="AO7:AO8"/>
    <mergeCell ref="AN6:AO6"/>
    <mergeCell ref="AA6:AA8"/>
    <mergeCell ref="AD9:AD11"/>
    <mergeCell ref="AE9:AE11"/>
    <mergeCell ref="H7:H8"/>
    <mergeCell ref="B7:B8"/>
    <mergeCell ref="K7:K8"/>
    <mergeCell ref="E9:E11"/>
    <mergeCell ref="AP6:AP8"/>
    <mergeCell ref="AG6:AH6"/>
    <mergeCell ref="AG8:AG9"/>
    <mergeCell ref="AH8:AH9"/>
    <mergeCell ref="AD7:AD8"/>
    <mergeCell ref="Y6:Z6"/>
    <mergeCell ref="U6:W6"/>
    <mergeCell ref="AC7:AC8"/>
    <mergeCell ref="AC6:AE6"/>
    <mergeCell ref="AB6:AB8"/>
    <mergeCell ref="AE7:AE8"/>
    <mergeCell ref="X6:X8"/>
    <mergeCell ref="T6:T8"/>
    <mergeCell ref="P6:S6"/>
    <mergeCell ref="N5:O6"/>
    <mergeCell ref="O7:O8"/>
    <mergeCell ref="C7:C8"/>
    <mergeCell ref="M7:M8"/>
    <mergeCell ref="I7:I8"/>
    <mergeCell ref="J7:J8"/>
    <mergeCell ref="P5:AE5"/>
    <mergeCell ref="B5:M6"/>
    <mergeCell ref="L7:L8"/>
    <mergeCell ref="N7:N8"/>
    <mergeCell ref="D7:D8"/>
    <mergeCell ref="E7:E8"/>
    <mergeCell ref="F7:F8"/>
    <mergeCell ref="G7:G8"/>
    <mergeCell ref="E18:E20"/>
    <mergeCell ref="AD18:AD20"/>
    <mergeCell ref="AE18:AE20"/>
    <mergeCell ref="E21:E23"/>
    <mergeCell ref="AD21:AD23"/>
    <mergeCell ref="AE21:AE23"/>
    <mergeCell ref="E12:E14"/>
    <mergeCell ref="AD12:AD14"/>
    <mergeCell ref="AE12:AE14"/>
    <mergeCell ref="E15:E17"/>
    <mergeCell ref="AD15:AD17"/>
    <mergeCell ref="AE15:AE17"/>
    <mergeCell ref="AD24:AD26"/>
    <mergeCell ref="AE24:AE26"/>
    <mergeCell ref="E31:E32"/>
    <mergeCell ref="AD31:AD32"/>
    <mergeCell ref="AE31:AE32"/>
    <mergeCell ref="E27:E29"/>
    <mergeCell ref="AD27:AD29"/>
    <mergeCell ref="AE27:AE29"/>
    <mergeCell ref="E24:E26"/>
    <mergeCell ref="E33:E34"/>
    <mergeCell ref="AD33:AD34"/>
    <mergeCell ref="AE33:AE34"/>
    <mergeCell ref="E42:E44"/>
    <mergeCell ref="AD42:AD44"/>
    <mergeCell ref="AE42:AE44"/>
    <mergeCell ref="E35:E37"/>
    <mergeCell ref="AD35:AD37"/>
    <mergeCell ref="AE35:AE37"/>
    <mergeCell ref="E38:E40"/>
    <mergeCell ref="AD38:AD40"/>
    <mergeCell ref="AE38:AE40"/>
  </mergeCells>
  <conditionalFormatting sqref="X275:X1048568 X9:X46">
    <cfRule type="expression" dxfId="52" priority="1013" stopIfTrue="1">
      <formula>COUNTA(U9:W9)&gt;1</formula>
    </cfRule>
  </conditionalFormatting>
  <conditionalFormatting sqref="AB275:AB1048568 AB9:AB46">
    <cfRule type="expression" dxfId="51" priority="1012" stopIfTrue="1">
      <formula>COUNTA(Y9:Z9)=2</formula>
    </cfRule>
  </conditionalFormatting>
  <conditionalFormatting sqref="AB9:AB44">
    <cfRule type="cellIs" dxfId="50" priority="320" stopIfTrue="1" operator="greaterThan">
      <formula>60</formula>
    </cfRule>
  </conditionalFormatting>
  <conditionalFormatting sqref="T9:T46">
    <cfRule type="expression" dxfId="49" priority="50">
      <formula>IF(OR(AND(Q9="",OR(R9="X",S9="X")),AND($R9="",$S9="X")),TRUE,FALSE)</formula>
    </cfRule>
    <cfRule type="expression" dxfId="48" priority="52">
      <formula>IF(AND(NOT(ISBLANK($P9)),OR(NOT(ISBLANK($Q9)),NOT(ISBLANK($R9)),NOT(ISBLANK($S9)))),T9=0,FALSE)</formula>
    </cfRule>
  </conditionalFormatting>
  <conditionalFormatting sqref="X1048569:X1048576">
    <cfRule type="expression" dxfId="47" priority="12061" stopIfTrue="1">
      <formula>COUNTA(U1048569:W1048570)&gt;1</formula>
    </cfRule>
  </conditionalFormatting>
  <conditionalFormatting sqref="AB1048569:AB1048576">
    <cfRule type="expression" dxfId="46" priority="12065" stopIfTrue="1">
      <formula>COUNTA(Y1048569:Z1048570)=2</formula>
    </cfRule>
  </conditionalFormatting>
  <conditionalFormatting sqref="AB45:AB46">
    <cfRule type="cellIs" dxfId="45" priority="3" stopIfTrue="1" operator="greaterThan">
      <formula>60</formula>
    </cfRule>
  </conditionalFormatting>
  <dataValidations count="26">
    <dataValidation allowBlank="1" showInputMessage="1" showErrorMessage="1" prompt="Es uno de los criterios de calificación de los CONTROLES, tiene un peso de 10 puntos sobre un total de 100." sqref="P6"/>
    <dataValidation allowBlank="1" showInputMessage="1" showErrorMessage="1" prompt="Es un elemento del criterio de FORMALIDAD, coloque una X, si el control  no se encuentra documentado en la caracterización de su proceso, en los  procedimientos o en cualquier otro documento de la Empresa." sqref="P7"/>
    <dataValidation allowBlank="1" showInputMessage="1" showErrorMessage="1" prompt="Es un elemento del criterio de FORMALIDAD, coloque una X, si el control ha sido suficientemente divulgado a todo el equipo de trabajo y en especial a quienes deben ejecutarlo." sqref="S7"/>
    <dataValidation allowBlank="1" showInputMessage="1" showErrorMessage="1" prompt="Es un criterio de FORMALIDAD, coloque una X si el control se encuentra aprobado." sqref="R7"/>
    <dataValidation allowBlank="1" showInputMessage="1" showErrorMessage="1" prompt="Es un elemento del criterio de FORMALIDAD; coloque una X, si el control se encuentra documentado en la caracterización de su proceso, en los  procedimientos, o en cualquier otro documento de la Empresa." sqref="Q7"/>
    <dataValidation allowBlank="1" showInputMessage="1" showErrorMessage="1" prompt="Marque con una X, si usted tiene evidencia documentada de la NO efectividad del control frente a la mitigación del riesgo." sqref="Z7"/>
    <dataValidation allowBlank="1" showInputMessage="1" showErrorMessage="1" prompt="Marque una X, si tiene evidencia documentada de la efectividad del control en la mitigación del riesgo._x000a_SOLO PUEDE  MARCAR UNA X  PARA TODO EL CRITERIO" sqref="Y7"/>
    <dataValidation allowBlank="1" showInputMessage="1" showErrorMessage="1" prompt="Es uno de los criterios de calificación de los controles, tiene un peso de 60 puntos de 100." sqref="Y6"/>
    <dataValidation allowBlank="1" showInputMessage="1" showErrorMessage="1" prompt="Marque X, si el control es aplicado siempre por el responsable." sqref="W7"/>
    <dataValidation allowBlank="1" showInputMessage="1" showErrorMessage="1" prompt="Marque una X, si el control se aplica unas veces SI y otras NO, dependiendo de la subjetividad del responsable de su ejecución" sqref="V7"/>
    <dataValidation allowBlank="1" showInputMessage="1" showErrorMessage="1" prompt="Maque una X, si el control no se aplica nunca" sqref="U7"/>
    <dataValidation allowBlank="1" showInputMessage="1" showErrorMessage="1" prompt="Es uno de los criterios de Calificación de los controles, tiene un peso de 20 puntos sobre 100" sqref="U6"/>
    <dataValidation allowBlank="1" showInputMessage="1" showErrorMessage="1" prompt="Calcula el valor del criterio de aplicación._x000a_solo puede marcarse una X, en alguno de los elementos." sqref="X6"/>
    <dataValidation allowBlank="1" showInputMessage="1" showErrorMessage="1" prompt="Adicione la información que permita un mayor entendimiento de la comprobación de la efectividad del control implementado (hallazgos, cambios en el criterio del riesgo, etc.)" sqref="AA6:AA8"/>
    <dataValidation allowBlank="1" showInputMessage="1" showErrorMessage="1" prompt="Describa el objetivo del control. Si más de un control atiende el mismo riesgo pueden compartir el mismo objetivo." sqref="E7:E8"/>
    <dataValidation allowBlank="1" showInputMessage="1" showErrorMessage="1" prompt="Enumere y describa las acciones necesarias para implementar el control." sqref="N7:N8"/>
    <dataValidation allowBlank="1" showInputMessage="1" showErrorMessage="1" prompt="Defina el estado de cada una de las acciones númeradas:_x000a_Planeada_x000a_En ejecución_x000a_Terminada" sqref="O7:O8"/>
    <dataValidation allowBlank="1" showInputMessage="1" showErrorMessage="1" prompt="Calcula la valoración de los criterios evaluados en el control._x000a_Mayor 91: EXCELENTE_x000a_Entre 61 a 90: BUENA_x000a_Entre 20 a 60: BAJA_x000a_Entre 0 a 19: CRITICA" sqref="AC6:AE6"/>
    <dataValidation allowBlank="1" showInputMessage="1" showErrorMessage="1" prompt="Describa las actividades de control o controles que se ejecutan en su proceso para mitigar el riesgo, ya sean para prevenir el riesgo, detectarlo o una vez materializados mitigar el nivel de impacto" sqref="D7:D8"/>
    <dataValidation allowBlank="1" showInputMessage="1" showErrorMessage="1" prompt="Calcula el la calificación del criterio de FORMALIDAD, _x000a_10: Si cumple con todos los elementos_x000a_7: Si esta Documentado y Aprobado pero no Divulgado_x000a_3: Si solo se encuentra Documentado_x000a_Si no esta Documentado no podria ser aprobado ni divulgado" sqref="T6:T8"/>
    <dataValidation type="list" showInputMessage="1" showErrorMessage="1" sqref="AL14:AL18 F9:F46">
      <formula1>"Actividades de control, Políticas, Procedimientos, Plan/Programa,Políticas/procedimientos"</formula1>
    </dataValidation>
    <dataValidation type="list" allowBlank="1" showInputMessage="1" showErrorMessage="1" sqref="H9:H46">
      <formula1>"Continuo, Diario, Semanal, Mensual, Semestral, Anual, Cada vez que se requiera, Trimestral"</formula1>
    </dataValidation>
    <dataValidation type="list" allowBlank="1" showInputMessage="1" showErrorMessage="1" sqref="P9:S46 U9:W1048576 Y9:Z1048576">
      <formula1>"X"</formula1>
    </dataValidation>
    <dataValidation type="list" allowBlank="1" showInputMessage="1" showErrorMessage="1" sqref="I9:I46">
      <formula1>$AL$9:$AL$11</formula1>
    </dataValidation>
    <dataValidation type="list" allowBlank="1" showInputMessage="1" showErrorMessage="1" sqref="H9:H46">
      <formula1>$AJ$9:$AJ$16</formula1>
    </dataValidation>
    <dataValidation type="list" allowBlank="1" showInputMessage="1" showErrorMessage="1" sqref="G9:G1048576">
      <formula1>$AR$9:$AR$11</formula1>
    </dataValidation>
  </dataValidations>
  <pageMargins left="0.7" right="0.7" top="0.75" bottom="0.75" header="0.3" footer="0.3"/>
  <pageSetup orientation="portrait" r:id="rId1"/>
  <headerFooter scaleWithDoc="0" alignWithMargins="0"/>
  <drawing r:id="rId2"/>
  <extLst>
    <ext xmlns:x14="http://schemas.microsoft.com/office/spreadsheetml/2009/9/main" uri="{78C0D931-6437-407d-A8EE-F0AAD7539E65}">
      <x14:conditionalFormattings>
        <x14:conditionalFormatting xmlns:xm="http://schemas.microsoft.com/office/excel/2006/main">
          <x14:cfRule type="iconSet" priority="12142" id="{00000000-000E-0000-0500-000060000000}">
            <x14:iconSet iconSet="4TrafficLights" custom="1">
              <x14:cfvo type="percent">
                <xm:f>0</xm:f>
              </x14:cfvo>
              <x14:cfvo type="num">
                <xm:f>20</xm:f>
              </x14:cfvo>
              <x14:cfvo type="num">
                <xm:f>61</xm:f>
              </x14:cfvo>
              <x14:cfvo type="num">
                <xm:f>91</xm:f>
              </x14:cfvo>
              <x14:cfIcon iconSet="3TrafficLights1" iconId="0"/>
              <x14:cfIcon iconSet="3TrafficLights1" iconId="1"/>
              <x14:cfIcon iconSet="4RedToBlack" iconId="2"/>
              <x14:cfIcon iconSet="3TrafficLights1" iconId="2"/>
            </x14:iconSet>
          </x14:cfRule>
          <xm:sqref>AE35 AE33 AE9 AE12 AE15 AE18 AE21 AE24 AE27 AE30:AE31 AE38 AE41:AE42</xm:sqref>
        </x14:conditionalFormatting>
        <x14:conditionalFormatting xmlns:xm="http://schemas.microsoft.com/office/excel/2006/main">
          <x14:cfRule type="iconSet" priority="12203" id="{00000000-000E-0000-0500-000049000000}">
            <x14:iconSet iconSet="4TrafficLights" custom="1">
              <x14:cfvo type="percent">
                <xm:f>0</xm:f>
              </x14:cfvo>
              <x14:cfvo type="num">
                <xm:f>20</xm:f>
              </x14:cfvo>
              <x14:cfvo type="num">
                <xm:f>40</xm:f>
              </x14:cfvo>
              <x14:cfvo type="num">
                <xm:f>91</xm:f>
              </x14:cfvo>
              <x14:cfIcon iconSet="3TrafficLights1" iconId="0"/>
              <x14:cfIcon iconSet="3TrafficLights1" iconId="1"/>
              <x14:cfIcon iconSet="4RedToBlack" iconId="2"/>
              <x14:cfIcon iconSet="3TrafficLights1" iconId="2"/>
            </x14:iconSet>
          </x14:cfRule>
          <xm:sqref>AC9:AD44</xm:sqref>
        </x14:conditionalFormatting>
        <x14:conditionalFormatting xmlns:xm="http://schemas.microsoft.com/office/excel/2006/main">
          <x14:cfRule type="iconSet" priority="6" id="{E3E3878F-D5E6-42F0-B208-9531229676BC}">
            <x14:iconSet iconSet="4TrafficLights" custom="1">
              <x14:cfvo type="percent">
                <xm:f>0</xm:f>
              </x14:cfvo>
              <x14:cfvo type="num">
                <xm:f>20</xm:f>
              </x14:cfvo>
              <x14:cfvo type="num">
                <xm:f>61</xm:f>
              </x14:cfvo>
              <x14:cfvo type="num">
                <xm:f>91</xm:f>
              </x14:cfvo>
              <x14:cfIcon iconSet="3TrafficLights1" iconId="0"/>
              <x14:cfIcon iconSet="3TrafficLights1" iconId="1"/>
              <x14:cfIcon iconSet="4RedToBlack" iconId="2"/>
              <x14:cfIcon iconSet="3TrafficLights1" iconId="2"/>
            </x14:iconSet>
          </x14:cfRule>
          <xm:sqref>AE45</xm:sqref>
        </x14:conditionalFormatting>
        <x14:conditionalFormatting xmlns:xm="http://schemas.microsoft.com/office/excel/2006/main">
          <x14:cfRule type="iconSet" priority="12208" id="{08AA9B19-CC2D-4500-9E49-02C2FD50EA1E}">
            <x14:iconSet iconSet="4TrafficLights" custom="1">
              <x14:cfvo type="percent">
                <xm:f>0</xm:f>
              </x14:cfvo>
              <x14:cfvo type="num">
                <xm:f>20</xm:f>
              </x14:cfvo>
              <x14:cfvo type="num">
                <xm:f>40</xm:f>
              </x14:cfvo>
              <x14:cfvo type="num">
                <xm:f>91</xm:f>
              </x14:cfvo>
              <x14:cfIcon iconSet="3TrafficLights1" iconId="0"/>
              <x14:cfIcon iconSet="3TrafficLights1" iconId="1"/>
              <x14:cfIcon iconSet="4RedToBlack" iconId="2"/>
              <x14:cfIcon iconSet="3TrafficLights1" iconId="2"/>
            </x14:iconSet>
          </x14:cfRule>
          <xm:sqref>AC45:AD46</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Tablas1!$B$36:$B$38</xm:f>
          </x14:formula1>
          <xm:sqref>O27:O28 O30:O46</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B1:AF34"/>
  <sheetViews>
    <sheetView showGridLines="0" topLeftCell="A7" zoomScale="85" zoomScaleNormal="85" workbookViewId="0">
      <selection activeCell="B8" sqref="B8"/>
    </sheetView>
  </sheetViews>
  <sheetFormatPr baseColWidth="10" defaultColWidth="11.5546875" defaultRowHeight="14.4" x14ac:dyDescent="0.3"/>
  <cols>
    <col min="1" max="1" width="2.21875" customWidth="1"/>
    <col min="2" max="2" width="11.21875" style="52"/>
    <col min="3" max="4" width="18.5546875" style="52" customWidth="1"/>
    <col min="5" max="5" width="22.77734375" style="52" customWidth="1"/>
    <col min="6" max="6" width="16.77734375" style="56" customWidth="1"/>
    <col min="7" max="7" width="16.21875" style="56" customWidth="1"/>
    <col min="8" max="8" width="15.21875" style="56" customWidth="1"/>
    <col min="9" max="9" width="60.21875" style="56" customWidth="1"/>
    <col min="10" max="10" width="17.77734375" style="56" customWidth="1"/>
    <col min="11" max="11" width="19.5546875" style="56" customWidth="1"/>
    <col min="12" max="19" width="19.5546875" style="56" hidden="1" customWidth="1"/>
    <col min="20" max="20" width="20.5546875" style="56" customWidth="1"/>
    <col min="21" max="21" width="21.21875" style="56" bestFit="1" customWidth="1"/>
    <col min="22" max="23" width="19.21875" style="56" customWidth="1"/>
    <col min="24" max="24" width="23.21875" customWidth="1"/>
    <col min="25" max="25" width="30.21875" style="18" customWidth="1"/>
    <col min="26" max="26" width="15.21875" customWidth="1"/>
    <col min="27" max="27" width="14.77734375" customWidth="1"/>
    <col min="29" max="29" width="29" customWidth="1"/>
    <col min="30" max="30" width="23.44140625" customWidth="1"/>
    <col min="31" max="31" width="24.21875" customWidth="1"/>
  </cols>
  <sheetData>
    <row r="1" spans="2:32" x14ac:dyDescent="0.3">
      <c r="Y1" s="31"/>
      <c r="Z1" s="15"/>
      <c r="AA1" s="15"/>
      <c r="AB1" s="15"/>
      <c r="AC1" s="15"/>
      <c r="AD1" s="15"/>
      <c r="AE1" s="15"/>
      <c r="AF1" s="24"/>
    </row>
    <row r="2" spans="2:32" x14ac:dyDescent="0.3">
      <c r="AB2" s="22"/>
      <c r="AC2" s="18" t="s">
        <v>197</v>
      </c>
      <c r="AD2" s="18" t="s">
        <v>194</v>
      </c>
      <c r="AE2" s="18" t="s">
        <v>191</v>
      </c>
      <c r="AF2" s="24"/>
    </row>
    <row r="3" spans="2:32" ht="22.5" customHeight="1" x14ac:dyDescent="0.3">
      <c r="AB3" s="23"/>
      <c r="AC3" s="18" t="s">
        <v>95</v>
      </c>
      <c r="AD3" s="126">
        <f>AVERAGE(T9:T1048576)</f>
        <v>1.3333333333333333</v>
      </c>
      <c r="AE3" s="126">
        <f>AVERAGE(U9:U1048576)</f>
        <v>1.5333333333333334</v>
      </c>
      <c r="AF3" s="24"/>
    </row>
    <row r="4" spans="2:32" ht="15.75" customHeight="1" x14ac:dyDescent="0.3">
      <c r="AB4" s="23"/>
      <c r="AF4" s="24"/>
    </row>
    <row r="5" spans="2:32" ht="14.25" customHeight="1" x14ac:dyDescent="0.3">
      <c r="B5" s="221" t="s">
        <v>100</v>
      </c>
      <c r="C5" s="221"/>
      <c r="D5" s="221"/>
      <c r="E5" s="221"/>
      <c r="F5" s="221"/>
      <c r="G5" s="221"/>
      <c r="H5" s="221"/>
      <c r="I5" s="221"/>
      <c r="J5" s="221" t="s">
        <v>160</v>
      </c>
      <c r="K5" s="221" t="s">
        <v>161</v>
      </c>
      <c r="L5" s="226" t="s">
        <v>426</v>
      </c>
      <c r="M5" s="227"/>
      <c r="N5" s="227"/>
      <c r="O5" s="228"/>
      <c r="P5" s="226" t="s">
        <v>427</v>
      </c>
      <c r="Q5" s="227"/>
      <c r="R5" s="227"/>
      <c r="S5" s="228"/>
      <c r="T5" s="223" t="s">
        <v>101</v>
      </c>
      <c r="U5" s="222" t="s">
        <v>162</v>
      </c>
      <c r="V5" s="221" t="s">
        <v>102</v>
      </c>
      <c r="W5" s="221"/>
      <c r="X5" s="222" t="s">
        <v>401</v>
      </c>
      <c r="AB5" s="23"/>
      <c r="AF5" s="24"/>
    </row>
    <row r="6" spans="2:32" ht="18" customHeight="1" x14ac:dyDescent="0.3">
      <c r="B6" s="221"/>
      <c r="C6" s="221"/>
      <c r="D6" s="221"/>
      <c r="E6" s="221"/>
      <c r="F6" s="221"/>
      <c r="G6" s="221"/>
      <c r="H6" s="221"/>
      <c r="I6" s="221"/>
      <c r="J6" s="221"/>
      <c r="K6" s="221"/>
      <c r="L6" s="229"/>
      <c r="M6" s="230"/>
      <c r="N6" s="230"/>
      <c r="O6" s="231"/>
      <c r="P6" s="229"/>
      <c r="Q6" s="230"/>
      <c r="R6" s="230"/>
      <c r="S6" s="231"/>
      <c r="T6" s="224"/>
      <c r="U6" s="222"/>
      <c r="V6" s="221"/>
      <c r="W6" s="221"/>
      <c r="X6" s="222"/>
      <c r="AB6" s="23"/>
      <c r="AF6" s="24"/>
    </row>
    <row r="7" spans="2:32" ht="9" customHeight="1" x14ac:dyDescent="0.3">
      <c r="B7" s="221"/>
      <c r="C7" s="221"/>
      <c r="D7" s="221"/>
      <c r="E7" s="221"/>
      <c r="F7" s="221"/>
      <c r="G7" s="221"/>
      <c r="H7" s="221"/>
      <c r="I7" s="221"/>
      <c r="J7" s="221"/>
      <c r="K7" s="221"/>
      <c r="L7" s="219" t="s">
        <v>47</v>
      </c>
      <c r="M7" s="219" t="s">
        <v>44</v>
      </c>
      <c r="N7" s="219" t="s">
        <v>46</v>
      </c>
      <c r="O7" s="219" t="s">
        <v>45</v>
      </c>
      <c r="P7" s="219" t="s">
        <v>47</v>
      </c>
      <c r="Q7" s="219" t="s">
        <v>44</v>
      </c>
      <c r="R7" s="219" t="s">
        <v>46</v>
      </c>
      <c r="S7" s="219" t="s">
        <v>45</v>
      </c>
      <c r="T7" s="224"/>
      <c r="U7" s="222"/>
      <c r="V7" s="221" t="s">
        <v>102</v>
      </c>
      <c r="W7" s="221" t="s">
        <v>88</v>
      </c>
      <c r="X7" s="222"/>
      <c r="AB7" s="15"/>
      <c r="AC7" s="15"/>
      <c r="AD7" s="15"/>
      <c r="AE7" s="15"/>
      <c r="AF7" s="24"/>
    </row>
    <row r="8" spans="2:32" ht="41.25" customHeight="1" x14ac:dyDescent="0.3">
      <c r="B8" s="120" t="s">
        <v>156</v>
      </c>
      <c r="C8" s="120" t="s">
        <v>388</v>
      </c>
      <c r="D8" s="120" t="s">
        <v>224</v>
      </c>
      <c r="E8" s="120" t="s">
        <v>159</v>
      </c>
      <c r="F8" s="120" t="s">
        <v>182</v>
      </c>
      <c r="G8" s="120" t="s">
        <v>183</v>
      </c>
      <c r="H8" s="120" t="s">
        <v>181</v>
      </c>
      <c r="I8" s="120" t="s">
        <v>391</v>
      </c>
      <c r="J8" s="221"/>
      <c r="K8" s="221"/>
      <c r="L8" s="220"/>
      <c r="M8" s="220"/>
      <c r="N8" s="220"/>
      <c r="O8" s="220"/>
      <c r="P8" s="220"/>
      <c r="Q8" s="220"/>
      <c r="R8" s="220"/>
      <c r="S8" s="220"/>
      <c r="T8" s="225"/>
      <c r="U8" s="222"/>
      <c r="V8" s="221"/>
      <c r="W8" s="221"/>
      <c r="X8" s="222" t="s">
        <v>401</v>
      </c>
      <c r="AB8" s="24"/>
      <c r="AC8" s="24"/>
      <c r="AD8" s="24"/>
      <c r="AE8" s="24"/>
      <c r="AF8" s="24"/>
    </row>
    <row r="9" spans="2:32" ht="56.25" customHeight="1" x14ac:dyDescent="0.3">
      <c r="B9" s="93">
        <f>ROW(A9)-8</f>
        <v>1</v>
      </c>
      <c r="C9" s="93" t="str">
        <f>'R I'!C7</f>
        <v>Transversal a Todas las Áreas y/o Unidades</v>
      </c>
      <c r="D9" s="93" t="str">
        <f>'R I'!D7</f>
        <v>Identificación y Análisis de Señales de Alerta y Análisis, Determinación y Reporte de Operaciones Inusuales</v>
      </c>
      <c r="E9" s="74" t="str">
        <f>IFERROR(VLOOKUP(B9,'R I'!E7:G30,3,0)," ")</f>
        <v>Servidores Públicos y/o Contratistas</v>
      </c>
      <c r="F9" s="93" t="str">
        <f t="shared" ref="F9:F23" si="0">VLOOKUP(B9,codr,3,FALSE)</f>
        <v>Servidores Públicos y/o Contratistas</v>
      </c>
      <c r="G9" s="93" t="str">
        <f t="shared" ref="G9:G23" si="1">VLOOKUP(B9,codr,4,FALSE)</f>
        <v>LAFT16</v>
      </c>
      <c r="H9" s="93" t="str">
        <f t="shared" ref="H9:H23" si="2">VLOOKUP(B9,ctrl,30,0)</f>
        <v>EXCELENTE</v>
      </c>
      <c r="I9" s="93" t="str">
        <f t="shared" ref="I9:I23" si="3">VLOOKUP(B9,codr,6,0)</f>
        <v>Posibilidad de no identificar señales de alerta y/u operaciones inusuales cualitativas y cuantitativas dentro de los movimientos de los Trabajadores Oficiales, Trabajadores de Libre Nombramiento y Remoción, Contratistas, Proveedores, Gestores, Distribuidores y demás Contrapartes.</v>
      </c>
      <c r="J9" s="136">
        <f t="shared" ref="J9:J23" si="4">VLOOKUP($B9,codr,13,0)</f>
        <v>2</v>
      </c>
      <c r="K9" s="136">
        <f t="shared" ref="K9:K23" si="5">VLOOKUP($B9,codr,23,0)</f>
        <v>3.75</v>
      </c>
      <c r="L9" s="136">
        <f>'R I'!W7</f>
        <v>2</v>
      </c>
      <c r="M9" s="136">
        <f>'R I'!X7</f>
        <v>5</v>
      </c>
      <c r="N9" s="136">
        <f>'R I'!Y7</f>
        <v>3</v>
      </c>
      <c r="O9" s="136">
        <f>'R I'!Z7</f>
        <v>5</v>
      </c>
      <c r="P9" s="137">
        <f>IFERROR(L9*LOOKUP($H9,Controles!$AT$9:$AT$12,Controles!$AU$9:$AU$12),0)</f>
        <v>0.4</v>
      </c>
      <c r="Q9" s="137">
        <f>IFERROR(M9*LOOKUP($H9,Controles!$AT$9:$AT$12,Controles!$AU$9:$AU$12),0)</f>
        <v>1</v>
      </c>
      <c r="R9" s="137">
        <f>IFERROR(N9*LOOKUP($H9,Controles!$AT$9:$AT$12,Controles!$AU$9:$AU$12),0)</f>
        <v>0.60000000000000009</v>
      </c>
      <c r="S9" s="137">
        <f>IFERROR(O9*LOOKUP($H9,Controles!$AT$9:$AT$12,Controles!$AU$9:$AU$12),0)</f>
        <v>1</v>
      </c>
      <c r="T9" s="121">
        <f>IFERROR(ROUND(J9*LOOKUP(H9,Controles!$AT$9:$AT$12,Controles!$AU$9:$AU$12),0),0)</f>
        <v>0</v>
      </c>
      <c r="U9" s="121">
        <f>IFERROR(ROUND(K9*LOOKUP(H9,Controles!$AT$9:$AT$12,Controles!$AU$9:$AU$12),0),0)</f>
        <v>1</v>
      </c>
      <c r="V9" s="122">
        <f t="shared" ref="V9:V23" si="6">T9*U9</f>
        <v>0</v>
      </c>
      <c r="W9" s="123" t="str">
        <f t="shared" ref="W9:W21" si="7">IF(AND(V9&gt;0,V9&lt;8),"BAJO",IF(AND(V9&gt;=8,V9&lt;14),"MEDIO",IF(AND(V9&gt;=14,V9&lt;20),"ALTO",IF(AND(V9&gt;=20,V9&lt;26),"EXTREMO",""))))</f>
        <v/>
      </c>
      <c r="X9" s="121" t="str">
        <f t="shared" ref="X9:X23" si="8">IFERROR(IF(VLOOKUP(W9,RIEGO,2,FALSE)=0,"",VLOOKUP(W9,RIEGO,2,FALSE)),"")</f>
        <v/>
      </c>
    </row>
    <row r="10" spans="2:32" ht="100.8" x14ac:dyDescent="0.3">
      <c r="B10" s="93">
        <f t="shared" ref="B10:B23" si="9">ROW(A10)-8</f>
        <v>2</v>
      </c>
      <c r="C10" s="93" t="str">
        <f>'R I'!C8</f>
        <v>Transversal a Todas las Áreas y/o Unidades</v>
      </c>
      <c r="D10" s="93" t="str">
        <f>'R I'!D8</f>
        <v>Atención a Solicitudes y Requerimientos de Información por Parte de Autoridades Competentes y Entes Externos.</v>
      </c>
      <c r="E10" s="74" t="str">
        <f>IFERROR(VLOOKUP(B10,'R I'!E8:G31,3,0)," ")</f>
        <v>Servidores Públicos y/o Contratistas</v>
      </c>
      <c r="F10" s="93" t="str">
        <f t="shared" si="0"/>
        <v>Servidores Públicos y/o Contratistas</v>
      </c>
      <c r="G10" s="93" t="str">
        <f t="shared" si="1"/>
        <v>LAFT16</v>
      </c>
      <c r="H10" s="93" t="str">
        <f t="shared" si="2"/>
        <v>EXCELENTE</v>
      </c>
      <c r="I10" s="93" t="str">
        <f t="shared" si="3"/>
        <v>Posibilidad de entregar información incompleta o errónea al área encargada de responder un requerimiento sobre LA/FT/FPADM realizado por un ente de control. (sobre todas las contrapartes)</v>
      </c>
      <c r="J10" s="136">
        <f t="shared" si="4"/>
        <v>3</v>
      </c>
      <c r="K10" s="136">
        <f t="shared" si="5"/>
        <v>4</v>
      </c>
      <c r="L10" s="136">
        <f>'R I'!W8</f>
        <v>1</v>
      </c>
      <c r="M10" s="136">
        <f>'R I'!X8</f>
        <v>5</v>
      </c>
      <c r="N10" s="136">
        <f>'R I'!Y8</f>
        <v>4</v>
      </c>
      <c r="O10" s="136">
        <f>'R I'!Z8</f>
        <v>3</v>
      </c>
      <c r="P10" s="137">
        <f>IFERROR(L10*LOOKUP($H10,Controles!$AT$9:$AT$12,Controles!$AU$9:$AU$12),0)</f>
        <v>0.2</v>
      </c>
      <c r="Q10" s="137">
        <f>IFERROR(M10*LOOKUP($H10,Controles!$AT$9:$AT$12,Controles!$AU$9:$AU$12),0)</f>
        <v>1</v>
      </c>
      <c r="R10" s="137">
        <f>IFERROR(N10*LOOKUP($H10,Controles!$AT$9:$AT$12,Controles!$AU$9:$AU$12),0)</f>
        <v>0.8</v>
      </c>
      <c r="S10" s="137">
        <f>IFERROR(O10*LOOKUP($H10,Controles!$AT$9:$AT$12,Controles!$AU$9:$AU$12),0)</f>
        <v>0.60000000000000009</v>
      </c>
      <c r="T10" s="121">
        <f t="shared" ref="T10:T23" si="10">ROUND(IF(H10="CRITICA",J10,IF(H10="BAJA",J10*90%,IF(H10="BUENA",J10*50%,IF(H10="EXCELENTE",J10*20%,0)))),0)</f>
        <v>1</v>
      </c>
      <c r="U10" s="121">
        <f>IFERROR(ROUND(K10*LOOKUP(H10,Controles!$AT$9:$AT$12,Controles!$AU$9:$AU$12),0),0)</f>
        <v>1</v>
      </c>
      <c r="V10" s="122">
        <f t="shared" si="6"/>
        <v>1</v>
      </c>
      <c r="W10" s="123" t="str">
        <f t="shared" si="7"/>
        <v>BAJO</v>
      </c>
      <c r="X10" s="121" t="str">
        <f t="shared" si="8"/>
        <v>Tratar</v>
      </c>
    </row>
    <row r="11" spans="2:32" ht="54" customHeight="1" x14ac:dyDescent="0.3">
      <c r="B11" s="93">
        <f t="shared" si="9"/>
        <v>3</v>
      </c>
      <c r="C11" s="93" t="str">
        <f>'R I'!C9</f>
        <v>Gestión Financiera y Contable</v>
      </c>
      <c r="D11" s="93" t="str">
        <f>'R I'!D9</f>
        <v>Inversión de Excedentes de Liquidez y CDT´S en Custodia</v>
      </c>
      <c r="E11" s="74" t="str">
        <f>IFERROR(VLOOKUP(B11,'R I'!E9:G32,3,0)," ")</f>
        <v>Productos y/o servicios</v>
      </c>
      <c r="F11" s="93" t="str">
        <f t="shared" si="0"/>
        <v>Productos y/o servicios</v>
      </c>
      <c r="G11" s="93" t="str">
        <f t="shared" si="1"/>
        <v>LAFT2</v>
      </c>
      <c r="H11" s="93" t="str">
        <f t="shared" si="2"/>
        <v>EXCELENTE</v>
      </c>
      <c r="I11" s="93" t="str">
        <f t="shared" si="3"/>
        <v>Posibilidad de tener relaciones contractuales, legales, comerciales, alianzas o convenios con contrapartes relacionadas con delitos de LA/FT/FPADM y/o que se encuentren en listas vinculantes y de control LA/FT/FPADM.</v>
      </c>
      <c r="J11" s="136">
        <f t="shared" si="4"/>
        <v>3</v>
      </c>
      <c r="K11" s="136">
        <f t="shared" si="5"/>
        <v>3.25</v>
      </c>
      <c r="L11" s="136">
        <f>'R I'!W9</f>
        <v>4</v>
      </c>
      <c r="M11" s="136">
        <f>'R I'!X9</f>
        <v>2</v>
      </c>
      <c r="N11" s="136">
        <f>'R I'!Y9</f>
        <v>4</v>
      </c>
      <c r="O11" s="136">
        <f>'R I'!Z9</f>
        <v>3</v>
      </c>
      <c r="P11" s="137">
        <f>IFERROR(L11*LOOKUP($H11,Controles!$AT$9:$AT$12,Controles!$AU$9:$AU$12),0)</f>
        <v>0.8</v>
      </c>
      <c r="Q11" s="137">
        <f>IFERROR(M11*LOOKUP($H11,Controles!$AT$9:$AT$12,Controles!$AU$9:$AU$12),0)</f>
        <v>0.4</v>
      </c>
      <c r="R11" s="137">
        <f>IFERROR(N11*LOOKUP($H11,Controles!$AT$9:$AT$12,Controles!$AU$9:$AU$12),0)</f>
        <v>0.8</v>
      </c>
      <c r="S11" s="137">
        <f>IFERROR(O11*LOOKUP($H11,Controles!$AT$9:$AT$12,Controles!$AU$9:$AU$12),0)</f>
        <v>0.60000000000000009</v>
      </c>
      <c r="T11" s="121">
        <f t="shared" si="10"/>
        <v>1</v>
      </c>
      <c r="U11" s="121">
        <f>IFERROR(ROUND(K11*LOOKUP(H11,Controles!$AT$9:$AT$12,Controles!$AU$9:$AU$12),0),0)</f>
        <v>1</v>
      </c>
      <c r="V11" s="122">
        <f t="shared" si="6"/>
        <v>1</v>
      </c>
      <c r="W11" s="123" t="str">
        <f t="shared" si="7"/>
        <v>BAJO</v>
      </c>
      <c r="X11" s="121" t="str">
        <f t="shared" si="8"/>
        <v>Tratar</v>
      </c>
    </row>
    <row r="12" spans="2:32" ht="75" customHeight="1" x14ac:dyDescent="0.3">
      <c r="B12" s="93">
        <f t="shared" si="9"/>
        <v>4</v>
      </c>
      <c r="C12" s="93" t="str">
        <f>'R I'!C10</f>
        <v>Gestión Financiera y Contable</v>
      </c>
      <c r="D12" s="93" t="str">
        <f>'R I'!D10</f>
        <v>Gestión de Egresos y Gestión de Ingresos</v>
      </c>
      <c r="E12" s="74" t="str">
        <f>IFERROR(VLOOKUP(B12,'R I'!E10:G33,3,0)," ")</f>
        <v>Canales comerciales y/o transaccionales</v>
      </c>
      <c r="F12" s="93" t="str">
        <f t="shared" si="0"/>
        <v>Canales comerciales y/o transaccionales</v>
      </c>
      <c r="G12" s="93" t="str">
        <f t="shared" si="1"/>
        <v>LAFT2</v>
      </c>
      <c r="H12" s="93" t="str">
        <f t="shared" si="2"/>
        <v>EXCELENTE</v>
      </c>
      <c r="I12" s="93" t="str">
        <f t="shared" si="3"/>
        <v>Posibilidad de utilización de un canal comercial o transaccional de la Lotería  para realizar operaciones relacionadas con LA/FT/FPADM.</v>
      </c>
      <c r="J12" s="136">
        <f t="shared" si="4"/>
        <v>2</v>
      </c>
      <c r="K12" s="136">
        <f t="shared" si="5"/>
        <v>3.5</v>
      </c>
      <c r="L12" s="136">
        <f>'R I'!W10</f>
        <v>3</v>
      </c>
      <c r="M12" s="136">
        <f>'R I'!X10</f>
        <v>3</v>
      </c>
      <c r="N12" s="136">
        <f>'R I'!Y10</f>
        <v>4</v>
      </c>
      <c r="O12" s="136">
        <f>'R I'!Z10</f>
        <v>4</v>
      </c>
      <c r="P12" s="137">
        <f>IFERROR(L12*LOOKUP($H12,Controles!$AT$9:$AT$12,Controles!$AU$9:$AU$12),0)</f>
        <v>0.60000000000000009</v>
      </c>
      <c r="Q12" s="137">
        <f>IFERROR(M12*LOOKUP($H12,Controles!$AT$9:$AT$12,Controles!$AU$9:$AU$12),0)</f>
        <v>0.60000000000000009</v>
      </c>
      <c r="R12" s="137">
        <f>IFERROR(N12*LOOKUP($H12,Controles!$AT$9:$AT$12,Controles!$AU$9:$AU$12),0)</f>
        <v>0.8</v>
      </c>
      <c r="S12" s="137">
        <f>IFERROR(O12*LOOKUP($H12,Controles!$AT$9:$AT$12,Controles!$AU$9:$AU$12),0)</f>
        <v>0.8</v>
      </c>
      <c r="T12" s="121">
        <f t="shared" si="10"/>
        <v>0</v>
      </c>
      <c r="U12" s="121">
        <f>IFERROR(ROUND(K12*LOOKUP(H12,Controles!$AT$9:$AT$12,Controles!$AU$9:$AU$12),0),0)</f>
        <v>1</v>
      </c>
      <c r="V12" s="122">
        <f t="shared" si="6"/>
        <v>0</v>
      </c>
      <c r="W12" s="123" t="str">
        <f t="shared" si="7"/>
        <v/>
      </c>
      <c r="X12" s="121" t="str">
        <f t="shared" si="8"/>
        <v/>
      </c>
    </row>
    <row r="13" spans="2:32" ht="72.75" customHeight="1" x14ac:dyDescent="0.3">
      <c r="B13" s="93">
        <f t="shared" si="9"/>
        <v>5</v>
      </c>
      <c r="C13" s="93" t="str">
        <f>'R I'!C11</f>
        <v>Gestión Financiera y Contable</v>
      </c>
      <c r="D13" s="93" t="str">
        <f>'R I'!D11</f>
        <v>Gestión de Ingresos</v>
      </c>
      <c r="E13" s="74" t="str">
        <f>IFERROR(VLOOKUP(B13,'R I'!E11:G34,3,0)," ")</f>
        <v>Contrapartes</v>
      </c>
      <c r="F13" s="93" t="str">
        <f t="shared" si="0"/>
        <v>Contrapartes</v>
      </c>
      <c r="G13" s="93" t="str">
        <f t="shared" si="1"/>
        <v>LAFT2</v>
      </c>
      <c r="H13" s="93" t="str">
        <f t="shared" si="2"/>
        <v>EXCELENTE</v>
      </c>
      <c r="I13" s="93" t="str">
        <f t="shared" si="3"/>
        <v>Posibilidad de recuperar valores en la gestión de cobro sin el conocimiento del origen de los fondos.</v>
      </c>
      <c r="J13" s="136">
        <f t="shared" si="4"/>
        <v>3</v>
      </c>
      <c r="K13" s="136">
        <f t="shared" si="5"/>
        <v>2.5</v>
      </c>
      <c r="L13" s="136" t="e">
        <f>'R I'!#REF!</f>
        <v>#REF!</v>
      </c>
      <c r="M13" s="136" t="e">
        <f>'R I'!#REF!</f>
        <v>#REF!</v>
      </c>
      <c r="N13" s="136" t="e">
        <f>'R I'!#REF!</f>
        <v>#REF!</v>
      </c>
      <c r="O13" s="136" t="e">
        <f>'R I'!#REF!</f>
        <v>#REF!</v>
      </c>
      <c r="P13" s="137">
        <f>IFERROR(L13*LOOKUP($H13,Controles!$AT$9:$AT$12,Controles!$AU$9:$AU$12),0)</f>
        <v>0</v>
      </c>
      <c r="Q13" s="137">
        <f>IFERROR(M13*LOOKUP($H13,Controles!$AT$9:$AT$12,Controles!$AU$9:$AU$12),0)</f>
        <v>0</v>
      </c>
      <c r="R13" s="137">
        <f>IFERROR(N13*LOOKUP($H13,Controles!$AT$9:$AT$12,Controles!$AU$9:$AU$12),0)</f>
        <v>0</v>
      </c>
      <c r="S13" s="137">
        <f>IFERROR(O13*LOOKUP($H13,Controles!$AT$9:$AT$12,Controles!$AU$9:$AU$12),0)</f>
        <v>0</v>
      </c>
      <c r="T13" s="121">
        <f t="shared" si="10"/>
        <v>1</v>
      </c>
      <c r="U13" s="121">
        <f>IFERROR(ROUND(K13*LOOKUP(H13,Controles!$AT$9:$AT$12,Controles!$AU$9:$AU$12),0),0)</f>
        <v>1</v>
      </c>
      <c r="V13" s="122">
        <f t="shared" si="6"/>
        <v>1</v>
      </c>
      <c r="W13" s="123" t="str">
        <f t="shared" si="7"/>
        <v>BAJO</v>
      </c>
      <c r="X13" s="121" t="str">
        <f t="shared" si="8"/>
        <v>Tratar</v>
      </c>
    </row>
    <row r="14" spans="2:32" ht="70.5" customHeight="1" x14ac:dyDescent="0.3">
      <c r="B14" s="93">
        <f t="shared" si="9"/>
        <v>6</v>
      </c>
      <c r="C14" s="93" t="str">
        <f>'R I'!C12</f>
        <v>Transversal a Todas las Áreas y/o Unidades</v>
      </c>
      <c r="D14" s="93" t="str">
        <f>'R I'!D12</f>
        <v>Transversal a Todas las Áreas y/o Unidades</v>
      </c>
      <c r="E14" s="74" t="str">
        <f>IFERROR(VLOOKUP(B14,'R I'!E12:G35,3,0)," ")</f>
        <v>Servidores Públicos y/o Contratistas</v>
      </c>
      <c r="F14" s="93" t="str">
        <f t="shared" si="0"/>
        <v>Servidores Públicos y/o Contratistas</v>
      </c>
      <c r="G14" s="93" t="str">
        <f t="shared" si="1"/>
        <v>LAFT16</v>
      </c>
      <c r="H14" s="93" t="str">
        <f t="shared" si="2"/>
        <v>BUENA</v>
      </c>
      <c r="I14" s="93" t="str">
        <f t="shared" si="3"/>
        <v>Posibilidad de ofrecimientos de dinero o dádivas a colaboradores de la Lotería para entregar, manipular, extraer, cambiar o transferir información de entidad o de sus clientes a terceros no vinculados a la Entidad con el proposito de realizar operaciones y/o actividades relacionadas con el riesgo LA/FT/FPADM.</v>
      </c>
      <c r="J14" s="136">
        <f t="shared" si="4"/>
        <v>2</v>
      </c>
      <c r="K14" s="136">
        <f t="shared" si="5"/>
        <v>2.25</v>
      </c>
      <c r="L14" s="136" t="e">
        <f>'R I'!#REF!</f>
        <v>#REF!</v>
      </c>
      <c r="M14" s="136" t="e">
        <f>'R I'!#REF!</f>
        <v>#REF!</v>
      </c>
      <c r="N14" s="136" t="e">
        <f>'R I'!#REF!</f>
        <v>#REF!</v>
      </c>
      <c r="O14" s="136" t="e">
        <f>'R I'!#REF!</f>
        <v>#REF!</v>
      </c>
      <c r="P14" s="137">
        <f>IFERROR(L14*LOOKUP($H14,Controles!$AT$9:$AT$12,Controles!$AU$9:$AU$12),0)</f>
        <v>0</v>
      </c>
      <c r="Q14" s="137">
        <f>IFERROR(M14*LOOKUP($H14,Controles!$AT$9:$AT$12,Controles!$AU$9:$AU$12),0)</f>
        <v>0</v>
      </c>
      <c r="R14" s="137">
        <f>IFERROR(N14*LOOKUP($H14,Controles!$AT$9:$AT$12,Controles!$AU$9:$AU$12),0)</f>
        <v>0</v>
      </c>
      <c r="S14" s="137">
        <f>IFERROR(O14*LOOKUP($H14,Controles!$AT$9:$AT$12,Controles!$AU$9:$AU$12),0)</f>
        <v>0</v>
      </c>
      <c r="T14" s="121">
        <f t="shared" si="10"/>
        <v>1</v>
      </c>
      <c r="U14" s="121">
        <f>IFERROR(ROUND(K14*LOOKUP(H14,Controles!$AT$9:$AT$12,Controles!$AU$9:$AU$12),0),0)</f>
        <v>1</v>
      </c>
      <c r="V14" s="122">
        <f t="shared" si="6"/>
        <v>1</v>
      </c>
      <c r="W14" s="123" t="str">
        <f t="shared" si="7"/>
        <v>BAJO</v>
      </c>
      <c r="X14" s="121" t="str">
        <f t="shared" si="8"/>
        <v>Tratar</v>
      </c>
    </row>
    <row r="15" spans="2:32" ht="71.25" customHeight="1" x14ac:dyDescent="0.3">
      <c r="B15" s="93">
        <f t="shared" si="9"/>
        <v>7</v>
      </c>
      <c r="C15" s="93" t="str">
        <f>'R I'!C13</f>
        <v>Explotación de JSA - Control Inspección y Fiscalización - Gestión de Talento Humano - Gestión Jurídica</v>
      </c>
      <c r="D15" s="93" t="str">
        <f>'R I'!D13</f>
        <v>Vinculación PEP´S y/o Alto Riesgo y Debida Diligencia Ampliada</v>
      </c>
      <c r="E15" s="74" t="str">
        <f>IFERROR(VLOOKUP(B15,'R I'!E13:G36,3,0)," ")</f>
        <v>Servidores Públicos y/o Contratistas</v>
      </c>
      <c r="F15" s="93" t="str">
        <f t="shared" si="0"/>
        <v>Servidores Públicos y/o Contratistas</v>
      </c>
      <c r="G15" s="93" t="str">
        <f t="shared" si="1"/>
        <v>LAFT19</v>
      </c>
      <c r="H15" s="93" t="str">
        <f t="shared" si="2"/>
        <v>EXCELENTE</v>
      </c>
      <c r="I15" s="93" t="str">
        <f t="shared" si="3"/>
        <v>Posibilidad de tener algún tipo de vínculo contractual con Personas Expuestas Políticamente (PEP) que se puedan aprovechar de su condición para realizar actividades de LA/FT/FPADM. (No es problemático tener esta relación contractual, el problema está en desconocerla)</v>
      </c>
      <c r="J15" s="136">
        <f t="shared" si="4"/>
        <v>1</v>
      </c>
      <c r="K15" s="136">
        <f t="shared" si="5"/>
        <v>3</v>
      </c>
      <c r="L15" s="136" t="e">
        <f>'R I'!#REF!</f>
        <v>#REF!</v>
      </c>
      <c r="M15" s="136" t="e">
        <f>'R I'!#REF!</f>
        <v>#REF!</v>
      </c>
      <c r="N15" s="136" t="e">
        <f>'R I'!#REF!</f>
        <v>#REF!</v>
      </c>
      <c r="O15" s="136" t="e">
        <f>'R I'!#REF!</f>
        <v>#REF!</v>
      </c>
      <c r="P15" s="137">
        <f>IFERROR(L15*LOOKUP($H15,Controles!$AT$9:$AT$12,Controles!$AU$9:$AU$12),0)</f>
        <v>0</v>
      </c>
      <c r="Q15" s="137">
        <f>IFERROR(M15*LOOKUP($H15,Controles!$AT$9:$AT$12,Controles!$AU$9:$AU$12),0)</f>
        <v>0</v>
      </c>
      <c r="R15" s="137">
        <f>IFERROR(N15*LOOKUP($H15,Controles!$AT$9:$AT$12,Controles!$AU$9:$AU$12),0)</f>
        <v>0</v>
      </c>
      <c r="S15" s="137">
        <f>IFERROR(O15*LOOKUP($H15,Controles!$AT$9:$AT$12,Controles!$AU$9:$AU$12),0)</f>
        <v>0</v>
      </c>
      <c r="T15" s="121">
        <f t="shared" si="10"/>
        <v>0</v>
      </c>
      <c r="U15" s="121">
        <f>IFERROR(ROUND(K15*LOOKUP(H15,Controles!$AT$9:$AT$12,Controles!$AU$9:$AU$12),0),0)</f>
        <v>1</v>
      </c>
      <c r="V15" s="122">
        <f t="shared" si="6"/>
        <v>0</v>
      </c>
      <c r="W15" s="123" t="str">
        <f t="shared" si="7"/>
        <v/>
      </c>
      <c r="X15" s="121" t="str">
        <f t="shared" si="8"/>
        <v/>
      </c>
    </row>
    <row r="16" spans="2:32" ht="74.25" customHeight="1" x14ac:dyDescent="0.3">
      <c r="B16" s="93">
        <f t="shared" si="9"/>
        <v>8</v>
      </c>
      <c r="C16" s="93" t="str">
        <f>'R I'!C14</f>
        <v>Planeación y Direccionamiento Estratégico</v>
      </c>
      <c r="D16" s="93" t="str">
        <f>'R I'!D14</f>
        <v>Plan Estratégico</v>
      </c>
      <c r="E16" s="74" t="str">
        <f>IFERROR(VLOOKUP(B16,'R I'!E14:G37,3,0)," ")</f>
        <v>Servidores Públicos y/o Contratistas</v>
      </c>
      <c r="F16" s="93" t="str">
        <f t="shared" si="0"/>
        <v>Servidores Públicos y/o Contratistas</v>
      </c>
      <c r="G16" s="93" t="str">
        <f t="shared" si="1"/>
        <v>LAFT13</v>
      </c>
      <c r="H16" s="93" t="str">
        <f t="shared" si="2"/>
        <v>EXCELENTE</v>
      </c>
      <c r="I16" s="93" t="str">
        <f t="shared" si="3"/>
        <v>Posibilidad de no incluir en el Plan Estratégico de la Lotería, el tema de LA/FT/FPADM.</v>
      </c>
      <c r="J16" s="136">
        <f t="shared" si="4"/>
        <v>2</v>
      </c>
      <c r="K16" s="136">
        <f t="shared" si="5"/>
        <v>3.333333333333333</v>
      </c>
      <c r="L16" s="136" t="e">
        <f>'R I'!#REF!</f>
        <v>#REF!</v>
      </c>
      <c r="M16" s="136" t="e">
        <f>'R I'!#REF!</f>
        <v>#REF!</v>
      </c>
      <c r="N16" s="136" t="e">
        <f>'R I'!#REF!</f>
        <v>#REF!</v>
      </c>
      <c r="O16" s="136" t="e">
        <f>'R I'!#REF!</f>
        <v>#REF!</v>
      </c>
      <c r="P16" s="137">
        <f>IFERROR(L16*LOOKUP($H16,Controles!$AT$9:$AT$12,Controles!$AU$9:$AU$12),0)</f>
        <v>0</v>
      </c>
      <c r="Q16" s="137">
        <f>IFERROR(M16*LOOKUP($H16,Controles!$AT$9:$AT$12,Controles!$AU$9:$AU$12),0)</f>
        <v>0</v>
      </c>
      <c r="R16" s="137">
        <f>IFERROR(N16*LOOKUP($H16,Controles!$AT$9:$AT$12,Controles!$AU$9:$AU$12),0)</f>
        <v>0</v>
      </c>
      <c r="S16" s="137">
        <f>IFERROR(O16*LOOKUP($H16,Controles!$AT$9:$AT$12,Controles!$AU$9:$AU$12),0)</f>
        <v>0</v>
      </c>
      <c r="T16" s="121">
        <f t="shared" si="10"/>
        <v>0</v>
      </c>
      <c r="U16" s="121">
        <f>IFERROR(ROUND(K16*LOOKUP(H16,Controles!$AT$9:$AT$12,Controles!$AU$9:$AU$12),0),0)</f>
        <v>1</v>
      </c>
      <c r="V16" s="122">
        <f t="shared" si="6"/>
        <v>0</v>
      </c>
      <c r="W16" s="123" t="str">
        <f t="shared" si="7"/>
        <v/>
      </c>
      <c r="X16" s="121" t="str">
        <f t="shared" si="8"/>
        <v/>
      </c>
    </row>
    <row r="17" spans="2:27" ht="69.75" customHeight="1" x14ac:dyDescent="0.3">
      <c r="B17" s="93">
        <f t="shared" si="9"/>
        <v>9</v>
      </c>
      <c r="C17" s="93" t="str">
        <f>'R I'!C15</f>
        <v>Gestión de Comunicaciones</v>
      </c>
      <c r="D17" s="93" t="str">
        <f>'R I'!D15</f>
        <v>Gestión de Comunicaciones</v>
      </c>
      <c r="E17" s="74" t="str">
        <f>IFERROR(VLOOKUP(B17,'R I'!E15:G38,3,0)," ")</f>
        <v>Canales comerciales y/o transaccionales</v>
      </c>
      <c r="F17" s="93" t="str">
        <f t="shared" si="0"/>
        <v>Canales comerciales y/o transaccionales</v>
      </c>
      <c r="G17" s="93" t="str">
        <f t="shared" si="1"/>
        <v>LAFT7</v>
      </c>
      <c r="H17" s="93" t="str">
        <f t="shared" si="2"/>
        <v>BAJA</v>
      </c>
      <c r="I17" s="93" t="str">
        <f t="shared" si="3"/>
        <v>Posibilidad de tener vínculo contractual con contrapartes internas y externas sobre los que se ha emitido información negativa en medios de comunicación, están o han estado incluídos en procesos judiciales o administrativos por delitos relacionados con LA/FT/FPADM, que puedan permear a la Lotería de Bogotá</v>
      </c>
      <c r="J17" s="136">
        <f t="shared" si="4"/>
        <v>3</v>
      </c>
      <c r="K17" s="136">
        <f t="shared" si="5"/>
        <v>2.75</v>
      </c>
      <c r="L17" s="136">
        <f>'R I'!W11</f>
        <v>3</v>
      </c>
      <c r="M17" s="136">
        <f>'R I'!X11</f>
        <v>3</v>
      </c>
      <c r="N17" s="136">
        <f>'R I'!Y11</f>
        <v>1</v>
      </c>
      <c r="O17" s="136">
        <f>'R I'!Z11</f>
        <v>3</v>
      </c>
      <c r="P17" s="137">
        <f>IFERROR(L17*LOOKUP($H17,Controles!$AT$9:$AT$12,Controles!$AU$9:$AU$12),0)</f>
        <v>2.7</v>
      </c>
      <c r="Q17" s="137">
        <f>IFERROR(M17*LOOKUP($H17,Controles!$AT$9:$AT$12,Controles!$AU$9:$AU$12),0)</f>
        <v>2.7</v>
      </c>
      <c r="R17" s="137">
        <f>IFERROR(N17*LOOKUP($H17,Controles!$AT$9:$AT$12,Controles!$AU$9:$AU$12),0)</f>
        <v>0.9</v>
      </c>
      <c r="S17" s="137">
        <f>IFERROR(O17*LOOKUP($H17,Controles!$AT$9:$AT$12,Controles!$AU$9:$AU$12),0)</f>
        <v>2.7</v>
      </c>
      <c r="T17" s="121">
        <f t="shared" si="10"/>
        <v>3</v>
      </c>
      <c r="U17" s="121">
        <f>IFERROR(ROUND(K17*LOOKUP(H17,Controles!$AT$9:$AT$12,Controles!$AU$9:$AU$12),0),0)</f>
        <v>2</v>
      </c>
      <c r="V17" s="122">
        <f t="shared" si="6"/>
        <v>6</v>
      </c>
      <c r="W17" s="123" t="str">
        <f t="shared" si="7"/>
        <v>BAJO</v>
      </c>
      <c r="X17" s="121" t="str">
        <f t="shared" si="8"/>
        <v>Tratar</v>
      </c>
    </row>
    <row r="18" spans="2:27" ht="68.25" customHeight="1" x14ac:dyDescent="0.3">
      <c r="B18" s="93">
        <f t="shared" si="9"/>
        <v>10</v>
      </c>
      <c r="C18" s="93" t="str">
        <f>'R I'!C16</f>
        <v>Gestión de las Tecnologías y la Información</v>
      </c>
      <c r="D18" s="93" t="str">
        <f>'R I'!D16</f>
        <v>Administración de Usuarios</v>
      </c>
      <c r="E18" s="74" t="str">
        <f>IFERROR(VLOOKUP(B18,'R I'!E16:G39,3,0)," ")</f>
        <v>Clientes</v>
      </c>
      <c r="F18" s="93" t="str">
        <f t="shared" si="0"/>
        <v>Clientes</v>
      </c>
      <c r="G18" s="93" t="str">
        <f t="shared" si="1"/>
        <v>LAFT12</v>
      </c>
      <c r="H18" s="93" t="str">
        <f t="shared" si="2"/>
        <v>EXCELENTE</v>
      </c>
      <c r="I18" s="93" t="str">
        <f t="shared" si="3"/>
        <v xml:space="preserve">Posibilidad de pérdida y/o extracción de información relacionada con las bases de datos de la Lotería, que pueda ser utilizada por terceros para realizar actividades de LA/FT/FPADM. </v>
      </c>
      <c r="J18" s="136">
        <f t="shared" si="4"/>
        <v>3</v>
      </c>
      <c r="K18" s="136">
        <f t="shared" si="5"/>
        <v>3.5</v>
      </c>
      <c r="L18" s="136" t="e">
        <f>'R I'!#REF!</f>
        <v>#REF!</v>
      </c>
      <c r="M18" s="136" t="e">
        <f>'R I'!#REF!</f>
        <v>#REF!</v>
      </c>
      <c r="N18" s="136" t="e">
        <f>'R I'!#REF!</f>
        <v>#REF!</v>
      </c>
      <c r="O18" s="136" t="e">
        <f>'R I'!#REF!</f>
        <v>#REF!</v>
      </c>
      <c r="P18" s="137">
        <f>IFERROR(L18*LOOKUP($H18,Controles!$AT$9:$AT$12,Controles!$AU$9:$AU$12),0)</f>
        <v>0</v>
      </c>
      <c r="Q18" s="137">
        <f>IFERROR(M18*LOOKUP($H18,Controles!$AT$9:$AT$12,Controles!$AU$9:$AU$12),0)</f>
        <v>0</v>
      </c>
      <c r="R18" s="137">
        <f>IFERROR(N18*LOOKUP($H18,Controles!$AT$9:$AT$12,Controles!$AU$9:$AU$12),0)</f>
        <v>0</v>
      </c>
      <c r="S18" s="137">
        <f>IFERROR(O18*LOOKUP($H18,Controles!$AT$9:$AT$12,Controles!$AU$9:$AU$12),0)</f>
        <v>0</v>
      </c>
      <c r="T18" s="121">
        <f t="shared" si="10"/>
        <v>1</v>
      </c>
      <c r="U18" s="121">
        <f>IFERROR(ROUND(K18*LOOKUP(H18,Controles!$AT$9:$AT$12,Controles!$AU$9:$AU$12),0),0)</f>
        <v>1</v>
      </c>
      <c r="V18" s="122">
        <f t="shared" si="6"/>
        <v>1</v>
      </c>
      <c r="W18" s="123" t="str">
        <f t="shared" si="7"/>
        <v>BAJO</v>
      </c>
      <c r="X18" s="121" t="str">
        <f t="shared" si="8"/>
        <v>Tratar</v>
      </c>
      <c r="Y18" s="32"/>
      <c r="Z18" s="33">
        <f>IFERROR(AVERAGEIF($F$9:$F$1048576,"LAFT16",$T$9:$T$1048576),0)</f>
        <v>0</v>
      </c>
      <c r="AA18" s="33">
        <f>IFERROR(AVERAGEIF($F$9:$F$1048576,"LAFT16",$U$9:$U$1048576),0)</f>
        <v>0</v>
      </c>
    </row>
    <row r="19" spans="2:27" ht="74.25" customHeight="1" x14ac:dyDescent="0.3">
      <c r="B19" s="93">
        <f t="shared" si="9"/>
        <v>11</v>
      </c>
      <c r="C19" s="93" t="str">
        <f>'R I'!C17</f>
        <v>Gestión de las Tecnologías y la Información</v>
      </c>
      <c r="D19" s="93" t="str">
        <f>'R I'!D17</f>
        <v>Mantenimiento de Infraestructura</v>
      </c>
      <c r="E19" s="74" t="str">
        <f>IFERROR(VLOOKUP(B19,'R I'!E17:G40,3,0)," ")</f>
        <v>Clientes</v>
      </c>
      <c r="F19" s="93" t="str">
        <f t="shared" si="0"/>
        <v>Clientes</v>
      </c>
      <c r="G19" s="93" t="str">
        <f t="shared" si="1"/>
        <v>LAFT12</v>
      </c>
      <c r="H19" s="93" t="str">
        <f t="shared" si="2"/>
        <v>EXCELENTE</v>
      </c>
      <c r="I19" s="93" t="str">
        <f t="shared" si="3"/>
        <v>Posibilidad de pagar premios a usuarios y/o clientes en la página web de la Lotería o de manera tradicional, sin verificar la identidad del ganador y/o que este relacionado en actividades de LA/FT/FPADM.</v>
      </c>
      <c r="J19" s="136">
        <f t="shared" si="4"/>
        <v>4</v>
      </c>
      <c r="K19" s="136">
        <f t="shared" si="5"/>
        <v>3.5</v>
      </c>
      <c r="L19" s="136" t="e">
        <f>'R I'!#REF!</f>
        <v>#REF!</v>
      </c>
      <c r="M19" s="136" t="e">
        <f>'R I'!#REF!</f>
        <v>#REF!</v>
      </c>
      <c r="N19" s="136" t="e">
        <f>'R I'!#REF!</f>
        <v>#REF!</v>
      </c>
      <c r="O19" s="136" t="e">
        <f>'R I'!#REF!</f>
        <v>#REF!</v>
      </c>
      <c r="P19" s="137">
        <f>IFERROR(L19*LOOKUP($H19,Controles!$AT$9:$AT$12,Controles!$AU$9:$AU$12),0)</f>
        <v>0</v>
      </c>
      <c r="Q19" s="137">
        <f>IFERROR(M19*LOOKUP($H19,Controles!$AT$9:$AT$12,Controles!$AU$9:$AU$12),0)</f>
        <v>0</v>
      </c>
      <c r="R19" s="137">
        <f>IFERROR(N19*LOOKUP($H19,Controles!$AT$9:$AT$12,Controles!$AU$9:$AU$12),0)</f>
        <v>0</v>
      </c>
      <c r="S19" s="137">
        <f>IFERROR(O19*LOOKUP($H19,Controles!$AT$9:$AT$12,Controles!$AU$9:$AU$12),0)</f>
        <v>0</v>
      </c>
      <c r="T19" s="121">
        <f t="shared" si="10"/>
        <v>1</v>
      </c>
      <c r="U19" s="121">
        <f>IFERROR(ROUND(K19*LOOKUP(H19,Controles!$AT$9:$AT$12,Controles!$AU$9:$AU$12),0),0)</f>
        <v>1</v>
      </c>
      <c r="V19" s="122">
        <f t="shared" si="6"/>
        <v>1</v>
      </c>
      <c r="W19" s="123" t="str">
        <f t="shared" si="7"/>
        <v>BAJO</v>
      </c>
      <c r="X19" s="121" t="str">
        <f t="shared" si="8"/>
        <v>Tratar</v>
      </c>
    </row>
    <row r="20" spans="2:27" ht="71.25" customHeight="1" x14ac:dyDescent="0.3">
      <c r="B20" s="93">
        <f t="shared" si="9"/>
        <v>12</v>
      </c>
      <c r="C20" s="93" t="str">
        <f>'R I'!C18</f>
        <v xml:space="preserve">Explotación de JSA </v>
      </c>
      <c r="D20" s="93" t="str">
        <f>'R I'!D18</f>
        <v>Recepción y Validación de Premios</v>
      </c>
      <c r="E20" s="74" t="str">
        <f>IFERROR(VLOOKUP(B20,'R I'!E18:G41,3,0)," ")</f>
        <v>Clientes</v>
      </c>
      <c r="F20" s="93" t="str">
        <f t="shared" si="0"/>
        <v>Clientes</v>
      </c>
      <c r="G20" s="93" t="str">
        <f t="shared" si="1"/>
        <v>LAFT5</v>
      </c>
      <c r="H20" s="93" t="str">
        <f t="shared" si="2"/>
        <v>BUENA</v>
      </c>
      <c r="I20" s="93" t="str">
        <f t="shared" si="3"/>
        <v xml:space="preserve">Posibilidad de que un ganador del premio de la lotería venda o realice algun tipo de negociación con un tercero, para transferir la propiedad del billete de lotería con la finalidad de realizar una operación de LA/FT/FPADM. </v>
      </c>
      <c r="J20" s="136">
        <f t="shared" si="4"/>
        <v>4</v>
      </c>
      <c r="K20" s="136">
        <f t="shared" si="5"/>
        <v>4.75</v>
      </c>
      <c r="L20" s="136" t="e">
        <f>'R I'!#REF!</f>
        <v>#REF!</v>
      </c>
      <c r="M20" s="136" t="e">
        <f>'R I'!#REF!</f>
        <v>#REF!</v>
      </c>
      <c r="N20" s="136" t="e">
        <f>'R I'!#REF!</f>
        <v>#REF!</v>
      </c>
      <c r="O20" s="136" t="e">
        <f>'R I'!#REF!</f>
        <v>#REF!</v>
      </c>
      <c r="P20" s="137">
        <f>IFERROR(L20*LOOKUP($H20,Controles!$AT$9:$AT$12,Controles!$AU$9:$AU$12),0)</f>
        <v>0</v>
      </c>
      <c r="Q20" s="137">
        <f>IFERROR(M20*LOOKUP($H20,Controles!$AT$9:$AT$12,Controles!$AU$9:$AU$12),0)</f>
        <v>0</v>
      </c>
      <c r="R20" s="137">
        <f>IFERROR(N20*LOOKUP($H20,Controles!$AT$9:$AT$12,Controles!$AU$9:$AU$12),0)</f>
        <v>0</v>
      </c>
      <c r="S20" s="137">
        <f>IFERROR(O20*LOOKUP($H20,Controles!$AT$9:$AT$12,Controles!$AU$9:$AU$12),0)</f>
        <v>0</v>
      </c>
      <c r="T20" s="121">
        <f t="shared" si="10"/>
        <v>2</v>
      </c>
      <c r="U20" s="121">
        <f>IFERROR(ROUND(K20*LOOKUP(H20,Controles!$AT$9:$AT$12,Controles!$AU$9:$AU$12),0),0)</f>
        <v>2</v>
      </c>
      <c r="V20" s="122">
        <f t="shared" si="6"/>
        <v>4</v>
      </c>
      <c r="W20" s="123" t="str">
        <f t="shared" si="7"/>
        <v>BAJO</v>
      </c>
      <c r="X20" s="121" t="str">
        <f t="shared" si="8"/>
        <v>Tratar</v>
      </c>
    </row>
    <row r="21" spans="2:27" ht="81" customHeight="1" x14ac:dyDescent="0.3">
      <c r="B21" s="93">
        <f t="shared" si="9"/>
        <v>13</v>
      </c>
      <c r="C21" s="93" t="str">
        <f>'R I'!C19</f>
        <v>Transversal a Todas las Áreas y/o Unidades</v>
      </c>
      <c r="D21" s="93" t="str">
        <f>'R I'!D19</f>
        <v>Transversal a las Áreas y/o Unidades indicadas en el proceso</v>
      </c>
      <c r="E21" s="74" t="str">
        <f>IFERROR(VLOOKUP(B21,'R I'!E19:G42,3,0)," ")</f>
        <v>Distribuidores y Gestores</v>
      </c>
      <c r="F21" s="93" t="str">
        <f t="shared" si="0"/>
        <v>Distribuidores y Gestores</v>
      </c>
      <c r="G21" s="93" t="str">
        <f t="shared" si="1"/>
        <v>LAFT16</v>
      </c>
      <c r="H21" s="93" t="str">
        <f t="shared" si="2"/>
        <v>BUENA</v>
      </c>
      <c r="I21" s="93" t="str">
        <f t="shared" si="3"/>
        <v>Posibilidad de tener vínculo contractual con contrapartes que aparezcan en listas vinculantes y de control LA/FT/FPADM en la revisión periódica-masiva de éstas.</v>
      </c>
      <c r="J21" s="136">
        <f t="shared" si="4"/>
        <v>1</v>
      </c>
      <c r="K21" s="136">
        <f t="shared" si="5"/>
        <v>3</v>
      </c>
      <c r="L21" s="136" t="e">
        <f>'R I'!#REF!</f>
        <v>#REF!</v>
      </c>
      <c r="M21" s="136" t="e">
        <f>'R I'!#REF!</f>
        <v>#REF!</v>
      </c>
      <c r="N21" s="136" t="e">
        <f>'R I'!#REF!</f>
        <v>#REF!</v>
      </c>
      <c r="O21" s="136" t="e">
        <f>'R I'!#REF!</f>
        <v>#REF!</v>
      </c>
      <c r="P21" s="137">
        <f>IFERROR(L21*LOOKUP($H21,Controles!$AT$9:$AT$12,Controles!$AU$9:$AU$12),0)</f>
        <v>0</v>
      </c>
      <c r="Q21" s="137">
        <f>IFERROR(M21*LOOKUP($H21,Controles!$AT$9:$AT$12,Controles!$AU$9:$AU$12),0)</f>
        <v>0</v>
      </c>
      <c r="R21" s="137">
        <f>IFERROR(N21*LOOKUP($H21,Controles!$AT$9:$AT$12,Controles!$AU$9:$AU$12),0)</f>
        <v>0</v>
      </c>
      <c r="S21" s="137">
        <f>IFERROR(O21*LOOKUP($H21,Controles!$AT$9:$AT$12,Controles!$AU$9:$AU$12),0)</f>
        <v>0</v>
      </c>
      <c r="T21" s="121">
        <f t="shared" si="10"/>
        <v>1</v>
      </c>
      <c r="U21" s="121">
        <f>IFERROR(ROUND(K21*LOOKUP(H21,Controles!$AT$9:$AT$12,Controles!$AU$9:$AU$12),0),0)</f>
        <v>2</v>
      </c>
      <c r="V21" s="122">
        <f t="shared" si="6"/>
        <v>2</v>
      </c>
      <c r="W21" s="123" t="str">
        <f t="shared" si="7"/>
        <v>BAJO</v>
      </c>
      <c r="X21" s="121" t="str">
        <f t="shared" si="8"/>
        <v>Tratar</v>
      </c>
    </row>
    <row r="22" spans="2:27" ht="69" customHeight="1" x14ac:dyDescent="0.3">
      <c r="B22" s="93">
        <f t="shared" si="9"/>
        <v>14</v>
      </c>
      <c r="C22" s="93" t="str">
        <f>'R I'!C20</f>
        <v>Explotación de JSA - Control Inspección y Fiscalización</v>
      </c>
      <c r="D22" s="93" t="str">
        <f>'R I'!D20</f>
        <v>Transversal a las Áreas y/o Unidades indicadas en el proceso</v>
      </c>
      <c r="E22" s="74" t="str">
        <f>IFERROR(VLOOKUP(B22,'R I'!E20:G43,3,0)," ")</f>
        <v>Distribuidores y Gestores</v>
      </c>
      <c r="F22" s="93" t="str">
        <f t="shared" si="0"/>
        <v>Distribuidores y Gestores</v>
      </c>
      <c r="G22" s="93" t="str">
        <f t="shared" si="1"/>
        <v>LAFT18</v>
      </c>
      <c r="H22" s="93" t="str">
        <f t="shared" si="2"/>
        <v>BAJA</v>
      </c>
      <c r="I22" s="93" t="str">
        <f t="shared" si="3"/>
        <v>Posibilidad de que los distribuidores y gestores de la Lotería de Bogotá realicen el pago y/o entrega de un premio en dinero o en especie, sin aplicar los protocolos de consulta en las listas vinculantes y de control.</v>
      </c>
      <c r="J22" s="136">
        <f t="shared" si="4"/>
        <v>5</v>
      </c>
      <c r="K22" s="136">
        <f t="shared" si="5"/>
        <v>4.5</v>
      </c>
      <c r="L22" s="136">
        <f>'R I'!W12</f>
        <v>2</v>
      </c>
      <c r="M22" s="136">
        <f>'R I'!X12</f>
        <v>4</v>
      </c>
      <c r="N22" s="136">
        <f>'R I'!Y12</f>
        <v>2</v>
      </c>
      <c r="O22" s="136">
        <f>'R I'!Z12</f>
        <v>1</v>
      </c>
      <c r="P22" s="137">
        <f>IFERROR(L22*LOOKUP($H22,Controles!$AT$9:$AT$12,Controles!$AU$9:$AU$12),0)</f>
        <v>1.8</v>
      </c>
      <c r="Q22" s="137">
        <f>IFERROR(M22*LOOKUP($H22,Controles!$AT$9:$AT$12,Controles!$AU$9:$AU$12),0)</f>
        <v>3.6</v>
      </c>
      <c r="R22" s="137">
        <f>IFERROR(N22*LOOKUP($H22,Controles!$AT$9:$AT$12,Controles!$AU$9:$AU$12),0)</f>
        <v>1.8</v>
      </c>
      <c r="S22" s="137">
        <f>IFERROR(O22*LOOKUP($H22,Controles!$AT$9:$AT$12,Controles!$AU$9:$AU$12),0)</f>
        <v>0.9</v>
      </c>
      <c r="T22" s="121">
        <f t="shared" si="10"/>
        <v>5</v>
      </c>
      <c r="U22" s="121">
        <f>IFERROR(ROUND(K22*LOOKUP(H22,Controles!$AT$9:$AT$12,Controles!$AU$9:$AU$12),0),0)</f>
        <v>4</v>
      </c>
      <c r="V22" s="122">
        <f t="shared" si="6"/>
        <v>20</v>
      </c>
      <c r="W22" s="123" t="str">
        <f t="shared" ref="W22:W23" si="11">IF(AND(V22&gt;0,V22&lt;8),"BAJO",IF(AND(V22&gt;=8,V22&lt;14),"MEDIO",IF(AND(V22&gt;=14,V22&lt;20),"ALTO",IF(AND(V22&gt;=20,V22&lt;26),"EXTREMO",""))))</f>
        <v>EXTREMO</v>
      </c>
      <c r="X22" s="121" t="str">
        <f t="shared" si="8"/>
        <v>Prevenir/Tratar/Evitar</v>
      </c>
    </row>
    <row r="23" spans="2:27" ht="66.75" customHeight="1" x14ac:dyDescent="0.3">
      <c r="B23" s="93">
        <f t="shared" si="9"/>
        <v>15</v>
      </c>
      <c r="C23" s="93" t="str">
        <f>'R I'!C21</f>
        <v>Explotación de JSA - Control Inspección y Fiscalización</v>
      </c>
      <c r="D23" s="93" t="str">
        <f>'R I'!D21</f>
        <v>Transversal a las Áreas y/o Unidades indicadas en el proceso</v>
      </c>
      <c r="E23" s="74" t="str">
        <f>IFERROR(VLOOKUP(B23,'R I'!E21:G44,3,0)," ")</f>
        <v>Distribuidores y Gestores</v>
      </c>
      <c r="F23" s="93" t="str">
        <f t="shared" si="0"/>
        <v>Distribuidores y Gestores</v>
      </c>
      <c r="G23" s="93" t="str">
        <f t="shared" si="1"/>
        <v>LAFT18</v>
      </c>
      <c r="H23" s="93" t="str">
        <f t="shared" si="2"/>
        <v>BAJA</v>
      </c>
      <c r="I23" s="93" t="str">
        <f t="shared" si="3"/>
        <v>Posibilidad de que los ganadores de premios de la Lotería de Bogotá realicen cobros del premio de manera fraccionada.</v>
      </c>
      <c r="J23" s="136">
        <f t="shared" si="4"/>
        <v>3</v>
      </c>
      <c r="K23" s="136">
        <f t="shared" si="5"/>
        <v>3.5</v>
      </c>
      <c r="L23" s="136" t="e">
        <f>'R I'!#REF!</f>
        <v>#REF!</v>
      </c>
      <c r="M23" s="136" t="e">
        <f>'R I'!#REF!</f>
        <v>#REF!</v>
      </c>
      <c r="N23" s="136" t="e">
        <f>'R I'!#REF!</f>
        <v>#REF!</v>
      </c>
      <c r="O23" s="136" t="e">
        <f>'R I'!#REF!</f>
        <v>#REF!</v>
      </c>
      <c r="P23" s="137">
        <f>IFERROR(L23*LOOKUP($H23,Controles!$AT$9:$AT$12,Controles!$AU$9:$AU$12),0)</f>
        <v>0</v>
      </c>
      <c r="Q23" s="137">
        <f>IFERROR(M23*LOOKUP($H23,Controles!$AT$9:$AT$12,Controles!$AU$9:$AU$12),0)</f>
        <v>0</v>
      </c>
      <c r="R23" s="137">
        <f>IFERROR(N23*LOOKUP($H23,Controles!$AT$9:$AT$12,Controles!$AU$9:$AU$12),0)</f>
        <v>0</v>
      </c>
      <c r="S23" s="137">
        <f>IFERROR(O23*LOOKUP($H23,Controles!$AT$9:$AT$12,Controles!$AU$9:$AU$12),0)</f>
        <v>0</v>
      </c>
      <c r="T23" s="121">
        <f t="shared" si="10"/>
        <v>3</v>
      </c>
      <c r="U23" s="121">
        <f>IFERROR(ROUND(K23*LOOKUP(H23,Controles!$AT$9:$AT$12,Controles!$AU$9:$AU$12),0),0)</f>
        <v>3</v>
      </c>
      <c r="V23" s="122">
        <f t="shared" si="6"/>
        <v>9</v>
      </c>
      <c r="W23" s="123" t="str">
        <f t="shared" si="11"/>
        <v>MEDIO</v>
      </c>
      <c r="X23" s="121" t="str">
        <f t="shared" si="8"/>
        <v>Tratar</v>
      </c>
    </row>
    <row r="24" spans="2:27" ht="42" customHeight="1" x14ac:dyDescent="0.3">
      <c r="B24" s="141"/>
      <c r="C24" s="141"/>
      <c r="D24" s="141"/>
      <c r="E24" s="6"/>
      <c r="F24" s="141"/>
      <c r="G24" s="141"/>
      <c r="H24" s="141"/>
      <c r="I24" s="141"/>
      <c r="J24" s="142"/>
      <c r="K24" s="142"/>
      <c r="L24" s="142"/>
      <c r="M24" s="142"/>
      <c r="N24" s="142"/>
      <c r="O24" s="142"/>
      <c r="P24" s="143"/>
      <c r="Q24" s="143"/>
      <c r="R24" s="143"/>
      <c r="S24" s="143"/>
      <c r="T24" s="144"/>
      <c r="U24" s="144"/>
      <c r="V24" s="145"/>
      <c r="W24" s="146"/>
      <c r="X24" s="144"/>
    </row>
    <row r="25" spans="2:27" ht="42" customHeight="1" x14ac:dyDescent="0.3">
      <c r="B25" s="141"/>
      <c r="C25" s="141"/>
      <c r="D25" s="141"/>
      <c r="E25" s="6"/>
      <c r="F25" s="141"/>
      <c r="G25" s="141"/>
      <c r="H25" s="141"/>
      <c r="I25" s="141"/>
      <c r="J25" s="142"/>
      <c r="K25" s="142"/>
      <c r="L25" s="142"/>
      <c r="M25" s="142"/>
      <c r="N25" s="142"/>
      <c r="O25" s="142"/>
      <c r="P25" s="143"/>
      <c r="Q25" s="143"/>
      <c r="R25" s="143"/>
      <c r="S25" s="143"/>
      <c r="T25" s="144"/>
      <c r="U25" s="144"/>
      <c r="V25" s="145"/>
      <c r="W25" s="146"/>
      <c r="X25" s="144"/>
    </row>
    <row r="26" spans="2:27" ht="42" customHeight="1" x14ac:dyDescent="0.3">
      <c r="B26" s="141"/>
      <c r="C26" s="141"/>
      <c r="D26" s="141"/>
      <c r="E26" s="6"/>
      <c r="F26" s="141"/>
      <c r="G26" s="141"/>
      <c r="H26" s="141"/>
      <c r="I26" s="141"/>
      <c r="J26" s="142"/>
      <c r="K26" s="142"/>
      <c r="L26" s="142"/>
      <c r="M26" s="142"/>
      <c r="N26" s="142"/>
      <c r="O26" s="142"/>
      <c r="P26" s="143"/>
      <c r="Q26" s="143"/>
      <c r="R26" s="143"/>
      <c r="S26" s="143"/>
      <c r="T26" s="144"/>
      <c r="U26" s="144"/>
      <c r="V26" s="145"/>
      <c r="W26" s="146"/>
      <c r="X26" s="144"/>
    </row>
    <row r="27" spans="2:27" ht="48" customHeight="1" x14ac:dyDescent="0.3">
      <c r="B27" s="141"/>
      <c r="C27" s="141"/>
      <c r="D27" s="141"/>
      <c r="E27" s="6"/>
      <c r="F27" s="141"/>
      <c r="G27" s="141"/>
      <c r="H27" s="141"/>
      <c r="I27" s="141"/>
      <c r="J27" s="142"/>
      <c r="K27" s="142"/>
      <c r="L27" s="142"/>
      <c r="M27" s="142"/>
      <c r="N27" s="142"/>
      <c r="O27" s="142"/>
      <c r="P27" s="143"/>
      <c r="Q27" s="143"/>
      <c r="R27" s="143"/>
      <c r="S27" s="143"/>
      <c r="T27" s="144"/>
      <c r="U27" s="144"/>
      <c r="V27" s="145"/>
      <c r="W27" s="146"/>
      <c r="X27" s="144"/>
    </row>
    <row r="28" spans="2:27" ht="63.75" customHeight="1" x14ac:dyDescent="0.3">
      <c r="B28" s="141"/>
      <c r="C28" s="141"/>
      <c r="D28" s="141"/>
      <c r="E28" s="6"/>
      <c r="F28" s="141"/>
      <c r="G28" s="141"/>
      <c r="H28" s="141"/>
      <c r="I28" s="141"/>
      <c r="J28" s="142"/>
      <c r="K28" s="142"/>
      <c r="L28" s="142"/>
      <c r="M28" s="142"/>
      <c r="N28" s="142"/>
      <c r="O28" s="142"/>
      <c r="P28" s="143"/>
      <c r="Q28" s="143"/>
      <c r="R28" s="143"/>
      <c r="S28" s="143"/>
      <c r="T28" s="144"/>
      <c r="U28" s="144"/>
      <c r="V28" s="145"/>
      <c r="W28" s="146"/>
      <c r="X28" s="144"/>
    </row>
    <row r="29" spans="2:27" ht="68.25" customHeight="1" x14ac:dyDescent="0.3">
      <c r="B29" s="141"/>
      <c r="C29" s="141"/>
      <c r="D29" s="141"/>
      <c r="E29" s="6"/>
      <c r="F29" s="141"/>
      <c r="G29" s="141"/>
      <c r="H29" s="141"/>
      <c r="I29" s="141"/>
      <c r="J29" s="142"/>
      <c r="K29" s="142"/>
      <c r="L29" s="142"/>
      <c r="M29" s="142"/>
      <c r="N29" s="142"/>
      <c r="O29" s="142"/>
      <c r="P29" s="143"/>
      <c r="Q29" s="143"/>
      <c r="R29" s="143"/>
      <c r="S29" s="143"/>
      <c r="T29" s="144"/>
      <c r="U29" s="144"/>
      <c r="V29" s="145"/>
      <c r="W29" s="146"/>
      <c r="X29" s="144"/>
    </row>
    <row r="30" spans="2:27" ht="48" customHeight="1" x14ac:dyDescent="0.3">
      <c r="B30" s="141"/>
      <c r="C30" s="141"/>
      <c r="D30" s="141"/>
      <c r="E30" s="6"/>
      <c r="F30" s="141"/>
      <c r="G30" s="141"/>
      <c r="H30" s="141"/>
      <c r="I30" s="141"/>
      <c r="J30" s="142"/>
      <c r="K30" s="142"/>
      <c r="L30" s="142"/>
      <c r="M30" s="142"/>
      <c r="N30" s="142"/>
      <c r="O30" s="142"/>
      <c r="P30" s="143"/>
      <c r="Q30" s="143"/>
      <c r="R30" s="143"/>
      <c r="S30" s="143"/>
      <c r="T30" s="144"/>
      <c r="U30" s="144"/>
      <c r="V30" s="145"/>
      <c r="W30" s="146"/>
      <c r="X30" s="144"/>
    </row>
    <row r="31" spans="2:27" ht="48" customHeight="1" x14ac:dyDescent="0.3">
      <c r="B31" s="141"/>
      <c r="C31" s="141"/>
      <c r="D31" s="141"/>
      <c r="E31" s="6"/>
      <c r="F31" s="141"/>
      <c r="G31" s="141"/>
      <c r="H31" s="141"/>
      <c r="I31" s="141"/>
      <c r="J31" s="142"/>
      <c r="K31" s="142"/>
      <c r="L31" s="142"/>
      <c r="M31" s="142"/>
      <c r="N31" s="142"/>
      <c r="O31" s="142"/>
      <c r="P31" s="143"/>
      <c r="Q31" s="143"/>
      <c r="R31" s="143"/>
      <c r="S31" s="143"/>
      <c r="T31" s="144"/>
      <c r="U31" s="144"/>
      <c r="V31" s="145"/>
      <c r="W31" s="146"/>
      <c r="X31" s="144"/>
    </row>
    <row r="32" spans="2:27" ht="48" customHeight="1" x14ac:dyDescent="0.3">
      <c r="B32" s="141"/>
      <c r="C32" s="141"/>
      <c r="D32" s="141"/>
      <c r="E32" s="6"/>
      <c r="F32" s="141"/>
      <c r="G32" s="141"/>
      <c r="H32" s="141"/>
      <c r="I32" s="141"/>
      <c r="J32" s="142"/>
      <c r="K32" s="142"/>
      <c r="L32" s="142"/>
      <c r="M32" s="142"/>
      <c r="N32" s="142"/>
      <c r="O32" s="142"/>
      <c r="P32" s="143"/>
      <c r="Q32" s="143"/>
      <c r="R32" s="143"/>
      <c r="S32" s="143"/>
      <c r="T32" s="144"/>
      <c r="U32" s="144"/>
      <c r="V32" s="145"/>
      <c r="W32" s="146"/>
      <c r="X32" s="144"/>
    </row>
    <row r="33" spans="2:24" ht="50.25" customHeight="1" x14ac:dyDescent="0.3">
      <c r="B33" s="141"/>
      <c r="C33" s="141"/>
      <c r="D33" s="141"/>
      <c r="E33" s="6"/>
      <c r="F33" s="141"/>
      <c r="G33" s="141"/>
      <c r="H33" s="141"/>
      <c r="I33" s="141"/>
      <c r="J33" s="142"/>
      <c r="K33" s="142"/>
      <c r="L33" s="142"/>
      <c r="M33" s="142"/>
      <c r="N33" s="142"/>
      <c r="O33" s="142"/>
      <c r="P33" s="143"/>
      <c r="Q33" s="143"/>
      <c r="R33" s="143"/>
      <c r="S33" s="143"/>
      <c r="T33" s="144"/>
      <c r="U33" s="144"/>
      <c r="V33" s="145"/>
      <c r="W33" s="146"/>
      <c r="X33" s="144"/>
    </row>
    <row r="34" spans="2:24" ht="50.25" customHeight="1" x14ac:dyDescent="0.3">
      <c r="B34" s="141"/>
      <c r="C34" s="141"/>
      <c r="D34" s="141"/>
      <c r="E34" s="6"/>
      <c r="F34" s="141"/>
      <c r="G34" s="141"/>
      <c r="H34" s="141"/>
      <c r="I34" s="141"/>
      <c r="J34" s="142"/>
      <c r="K34" s="142"/>
      <c r="L34" s="142"/>
      <c r="M34" s="142"/>
      <c r="N34" s="142"/>
      <c r="O34" s="142"/>
      <c r="P34" s="143"/>
      <c r="Q34" s="143"/>
      <c r="R34" s="143"/>
      <c r="S34" s="143"/>
      <c r="T34" s="144"/>
      <c r="U34" s="144"/>
      <c r="V34" s="145"/>
      <c r="W34" s="146"/>
      <c r="X34" s="144"/>
    </row>
  </sheetData>
  <mergeCells count="20">
    <mergeCell ref="X5:X8"/>
    <mergeCell ref="V5:W6"/>
    <mergeCell ref="W7:W8"/>
    <mergeCell ref="V7:V8"/>
    <mergeCell ref="J5:J8"/>
    <mergeCell ref="K5:K8"/>
    <mergeCell ref="U5:U8"/>
    <mergeCell ref="T5:T8"/>
    <mergeCell ref="Q7:Q8"/>
    <mergeCell ref="R7:R8"/>
    <mergeCell ref="S7:S8"/>
    <mergeCell ref="L5:O6"/>
    <mergeCell ref="P5:S6"/>
    <mergeCell ref="L7:L8"/>
    <mergeCell ref="M7:M8"/>
    <mergeCell ref="N7:N8"/>
    <mergeCell ref="O7:O8"/>
    <mergeCell ref="P7:P8"/>
    <mergeCell ref="B5:H7"/>
    <mergeCell ref="I5:I7"/>
  </mergeCells>
  <phoneticPr fontId="27" type="noConversion"/>
  <conditionalFormatting sqref="V9:V21 V24:V34">
    <cfRule type="containsText" dxfId="44" priority="620" stopIfTrue="1" operator="containsText" text="INACEPTABLE">
      <formula>NOT(ISERROR(SEARCH("INACEPTABLE",V9)))</formula>
    </cfRule>
  </conditionalFormatting>
  <conditionalFormatting sqref="V9:V21 V24:V34">
    <cfRule type="cellIs" dxfId="43" priority="619" stopIfTrue="1" operator="equal">
      <formula>"ACEPTABLE"</formula>
    </cfRule>
  </conditionalFormatting>
  <conditionalFormatting sqref="W24:W34 W9:W21">
    <cfRule type="cellIs" dxfId="42" priority="580" operator="equal">
      <formula>"BAJO"</formula>
    </cfRule>
    <cfRule type="cellIs" dxfId="41" priority="581" operator="equal">
      <formula>"MEDIO"</formula>
    </cfRule>
    <cfRule type="cellIs" dxfId="40" priority="582" operator="equal">
      <formula>"EXTREMO"</formula>
    </cfRule>
    <cfRule type="cellIs" dxfId="39" priority="583" operator="equal">
      <formula>"ALTO"</formula>
    </cfRule>
  </conditionalFormatting>
  <conditionalFormatting sqref="Y18:AA18">
    <cfRule type="cellIs" dxfId="38" priority="554" operator="equal">
      <formula>0</formula>
    </cfRule>
  </conditionalFormatting>
  <conditionalFormatting sqref="V22:V23">
    <cfRule type="containsText" dxfId="37" priority="508" stopIfTrue="1" operator="containsText" text="INACEPTABLE">
      <formula>NOT(ISERROR(SEARCH("INACEPTABLE",V22)))</formula>
    </cfRule>
  </conditionalFormatting>
  <conditionalFormatting sqref="V22:V23">
    <cfRule type="cellIs" dxfId="36" priority="507" stopIfTrue="1" operator="equal">
      <formula>"ACEPTABLE"</formula>
    </cfRule>
  </conditionalFormatting>
  <conditionalFormatting sqref="W22:W23">
    <cfRule type="cellIs" dxfId="35" priority="503" operator="equal">
      <formula>"BAJO"</formula>
    </cfRule>
    <cfRule type="cellIs" dxfId="34" priority="504" operator="equal">
      <formula>"MEDIO"</formula>
    </cfRule>
    <cfRule type="cellIs" dxfId="33" priority="505" operator="equal">
      <formula>"EXTREMO"</formula>
    </cfRule>
    <cfRule type="cellIs" dxfId="32" priority="506" operator="equal">
      <formula>"ALTO"</formula>
    </cfRule>
  </conditionalFormatting>
  <dataValidations count="2">
    <dataValidation allowBlank="1" showInputMessage="1" showErrorMessage="1" prompt="Calcula el Riesgo Residual:  Tomando como base el Riesgo inherente y el efecto de mitigación del control sobre el riesgo Inherente: _x000a_EXCELENTE : Mitiga el 80%_x000a_BUENO: Mitiga el 50%_x000a_BAJA: Mitiga el 10%_x000a_CRITICO: Mitiga el 0%" sqref="V5"/>
    <dataValidation allowBlank="1" showInputMessage="1" showErrorMessage="1" prompt="Calcula la incidencia del total de controles sobre el riesgo identificado." sqref="B5"/>
  </dataValidations>
  <pageMargins left="0.7" right="0.7" top="0.75" bottom="0.75" header="0.3" footer="0.3"/>
  <pageSetup orientation="portrait" r:id="rId1"/>
  <drawing r:id="rId2"/>
  <tableParts count="1">
    <tablePart r:id="rId3"/>
  </tableParts>
  <extLst>
    <ext xmlns:x14="http://schemas.microsoft.com/office/spreadsheetml/2009/9/main" uri="{CCE6A557-97BC-4b89-ADB6-D9C93CAAB3DF}">
      <x14:dataValidations xmlns:xm="http://schemas.microsoft.com/office/excel/2006/main" count="4">
        <x14:dataValidation type="list" allowBlank="1" showInputMessage="1" showErrorMessage="1">
          <x14:formula1>
            <xm:f>Tablas1!$I$3:$I$12</xm:f>
          </x14:formula1>
          <xm:sqref>G35:G1048576</xm:sqref>
        </x14:dataValidation>
        <x14:dataValidation type="list" allowBlank="1" showInputMessage="1">
          <x14:formula1>
            <xm:f>Tablas1!$H$3:$H$6</xm:f>
          </x14:formula1>
          <xm:sqref>E9:E34</xm:sqref>
        </x14:dataValidation>
        <x14:dataValidation type="list" allowBlank="1" showInputMessage="1">
          <x14:formula1>
            <xm:f>Tablas1!$I$3:$I$12</xm:f>
          </x14:formula1>
          <xm:sqref>G9:G34</xm:sqref>
        </x14:dataValidation>
        <x14:dataValidation type="list" allowBlank="1" showInputMessage="1" showErrorMessage="1">
          <x14:formula1>
            <xm:f>Tablas1!$C$3:$C$22</xm:f>
          </x14:formula1>
          <xm:sqref>F9:F1048576</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2:M20"/>
  <sheetViews>
    <sheetView showGridLines="0" zoomScaleNormal="100" workbookViewId="0">
      <selection activeCell="H14" sqref="H14:J20"/>
    </sheetView>
  </sheetViews>
  <sheetFormatPr baseColWidth="10" defaultColWidth="11.5546875" defaultRowHeight="14.4" x14ac:dyDescent="0.3"/>
  <cols>
    <col min="1" max="1" width="8.21875" customWidth="1"/>
    <col min="2" max="2" width="38.5546875" customWidth="1"/>
    <col min="3" max="3" width="16.21875" bestFit="1" customWidth="1"/>
    <col min="4" max="4" width="17.77734375" customWidth="1"/>
    <col min="5" max="5" width="18.5546875" customWidth="1"/>
    <col min="6" max="6" width="17.77734375" customWidth="1"/>
    <col min="8" max="8" width="28.21875" customWidth="1"/>
    <col min="9" max="9" width="13.77734375" customWidth="1"/>
    <col min="10" max="10" width="11.5546875" customWidth="1"/>
    <col min="12" max="12" width="21" customWidth="1"/>
    <col min="13" max="13" width="15.44140625" customWidth="1"/>
  </cols>
  <sheetData>
    <row r="2" spans="1:13" x14ac:dyDescent="0.3">
      <c r="A2" s="47"/>
    </row>
    <row r="3" spans="1:13" x14ac:dyDescent="0.3">
      <c r="B3" s="47"/>
    </row>
    <row r="5" spans="1:13" ht="25.5" customHeight="1" x14ac:dyDescent="0.3">
      <c r="B5" s="35" t="s">
        <v>7</v>
      </c>
      <c r="C5" s="35" t="s">
        <v>21</v>
      </c>
      <c r="D5" s="35" t="s">
        <v>86</v>
      </c>
      <c r="E5" s="35" t="s">
        <v>87</v>
      </c>
      <c r="F5" s="35" t="s">
        <v>88</v>
      </c>
      <c r="G5" s="35"/>
      <c r="H5" s="35" t="s">
        <v>388</v>
      </c>
      <c r="I5" s="35" t="s">
        <v>94</v>
      </c>
      <c r="J5" s="35" t="s">
        <v>96</v>
      </c>
      <c r="L5" s="70" t="s">
        <v>425</v>
      </c>
      <c r="M5" s="70" t="s">
        <v>95</v>
      </c>
    </row>
    <row r="6" spans="1:13" s="35" customFormat="1" ht="30" customHeight="1" x14ac:dyDescent="0.3">
      <c r="B6" s="80" t="str">
        <f>Tablas1!H3</f>
        <v>Productos y/o servicios</v>
      </c>
      <c r="C6" s="126">
        <f ca="1">IFERROR(AVERAGEIF('R R'!$E$7:$G$1048576,Tableau15[[#This Row],[FACTOR DE RIESGO]],'R R'!T$7:T$1048576),"")</f>
        <v>1</v>
      </c>
      <c r="D6" s="126">
        <f ca="1">IFERROR(AVERAGEIF('R R'!$E$7:$G$1048576,Tableau15[[#This Row],[FACTOR DE RIESGO]],'R R'!U$7:U$1048576),"")</f>
        <v>1</v>
      </c>
      <c r="E6" s="18">
        <v>2</v>
      </c>
      <c r="F6" s="18" t="str">
        <f>IF(AND(E6&gt;0,E6&lt;8),"BAJO",IF(AND(E6&gt;=8,E6&lt;14),"MEDIO",IF(AND(E6&gt;=14,E6&lt;20),"ALTO",IF(AND(E6&gt;=20,E6&lt;26),"EXTREMO",""))))</f>
        <v>BAJO</v>
      </c>
      <c r="H6" s="135" t="str">
        <f>Tablas1!B3</f>
        <v>Control Interno Disciplinario</v>
      </c>
      <c r="I6" s="134">
        <f>IFERROR(AVERAGEIF('R R'!$C$9:$C$1048576,Tableau13[[#This Row],[Proceso/Área de práctica]],'R R'!$T$9:$T$1048576),0)</f>
        <v>0</v>
      </c>
      <c r="J6" s="134">
        <f>IFERROR(AVERAGEIF('R R'!$C$9:$C$1048576,Tableau13[[#This Row],[Proceso/Área de práctica]],'R R'!$U$9:$U$1048576),0)</f>
        <v>0</v>
      </c>
      <c r="L6" s="80" t="str">
        <f>Tablas1!B24</f>
        <v>Riesgo de Contagio</v>
      </c>
      <c r="M6" s="126">
        <f>IFERROR(AVERAGE('R R'!$P$9:$P$1048576),0)</f>
        <v>0.43333333333333335</v>
      </c>
    </row>
    <row r="7" spans="1:13" s="35" customFormat="1" ht="30" customHeight="1" x14ac:dyDescent="0.3">
      <c r="B7" s="35" t="str">
        <f>Tablas1!H4</f>
        <v>Canales comerciales y/o transaccionales</v>
      </c>
      <c r="C7" s="126">
        <f ca="1">IFERROR(AVERAGEIF('R R'!$E$7:$G$1048576,Tableau15[[#This Row],[FACTOR DE RIESGO]],'R R'!T$7:T$1048576),"")</f>
        <v>1.5</v>
      </c>
      <c r="D7" s="126">
        <f ca="1">IFERROR(AVERAGEIF('R R'!$E$7:$G$1048576,Tableau15[[#This Row],[FACTOR DE RIESGO]],'R R'!U$7:U$1048576),"")</f>
        <v>2.25</v>
      </c>
      <c r="E7" s="18">
        <f t="shared" ref="E7:E10" ca="1" si="0">IFERROR(ROUND(C7*D7,0),"")</f>
        <v>3</v>
      </c>
      <c r="F7" s="18" t="str">
        <f t="shared" ref="F7:F10" ca="1" si="1">IF(AND(E7&gt;0,E7&lt;8),"BAJO",IF(AND(E7&gt;=8,E7&lt;14),"MEDIO",IF(AND(E7&gt;=14,E7&lt;20),"ALTO",IF(AND(E7&gt;=20,E7&lt;26),"EXTREMO",""))))</f>
        <v>BAJO</v>
      </c>
      <c r="H7" s="135" t="str">
        <f>Tablas1!B4</f>
        <v>Gestión Financiera y Contable</v>
      </c>
      <c r="I7" s="134">
        <f>IFERROR(AVERAGEIF('R R'!$C$9:$C$1048576,Tableau13[[#This Row],[Proceso/Área de práctica]],'R R'!$T$9:$T$1048576),0)</f>
        <v>0.66666666666666663</v>
      </c>
      <c r="J7" s="134">
        <f>IFERROR(AVERAGEIF('R R'!$C$9:$C$1048576,Tableau13[[#This Row],[Proceso/Área de práctica]],'R R'!$U$9:$U$1048576),0)</f>
        <v>1</v>
      </c>
      <c r="L7" s="80" t="str">
        <f>Tablas1!B25</f>
        <v>Riesgo Legal</v>
      </c>
      <c r="M7" s="126">
        <f>IFERROR(AVERAGE('R R'!$Q$9:$Q$1048576),0)</f>
        <v>0.62</v>
      </c>
    </row>
    <row r="8" spans="1:13" s="35" customFormat="1" ht="30" customHeight="1" x14ac:dyDescent="0.3">
      <c r="B8" s="35" t="str">
        <f>Tablas1!H6</f>
        <v>Servidores Públicos y/o Contratistas</v>
      </c>
      <c r="C8" s="126">
        <f ca="1">IFERROR(AVERAGEIF('R R'!$E$7:$G$1048576,Tableau15[[#This Row],[FACTOR DE RIESGO]],'R R'!T$7:T$1048576),"")</f>
        <v>0.7</v>
      </c>
      <c r="D8" s="126">
        <f ca="1">IFERROR(AVERAGEIF('R R'!$E$7:$G$1048576,Tableau15[[#This Row],[FACTOR DE RIESGO]],'R R'!U$7:U$1048576),"")</f>
        <v>0.7</v>
      </c>
      <c r="E8" s="18">
        <v>1.4</v>
      </c>
      <c r="F8" s="18" t="str">
        <f t="shared" si="1"/>
        <v>BAJO</v>
      </c>
      <c r="H8" s="135" t="str">
        <f>Tablas1!B5</f>
        <v>Evaluación Independiente y Control a la Gestión</v>
      </c>
      <c r="I8" s="134">
        <f>IFERROR(AVERAGEIF('R R'!$C$9:$C$1048576,Tableau13[[#This Row],[Proceso/Área de práctica]],'R R'!$T$9:$T$1048576),0)</f>
        <v>0</v>
      </c>
      <c r="J8" s="134">
        <f>IFERROR(AVERAGEIF('R R'!$C$9:$C$1048576,Tableau13[[#This Row],[Proceso/Área de práctica]],'R R'!$U$9:$U$1048576),0)</f>
        <v>0</v>
      </c>
      <c r="L8" s="80" t="str">
        <f>Tablas1!B26</f>
        <v>Riesgo Reputacional</v>
      </c>
      <c r="M8" s="126">
        <f>IFERROR(AVERAGE('R R'!$R$9:$R$1048576),0)</f>
        <v>0.38</v>
      </c>
    </row>
    <row r="9" spans="1:13" s="35" customFormat="1" ht="30" customHeight="1" x14ac:dyDescent="0.3">
      <c r="B9" s="35" t="str">
        <f>Tablas1!H7</f>
        <v>Clientes</v>
      </c>
      <c r="C9" s="126">
        <f ca="1">IFERROR(AVERAGEIF('R R'!$E$7:$G$1048576,Tableau15[[#This Row],[FACTOR DE RIESGO]],'R R'!T$7:T$1048576),"")</f>
        <v>1.3333333333333333</v>
      </c>
      <c r="D9" s="126">
        <f ca="1">IFERROR(AVERAGEIF('R R'!$E$7:$G$1048576,Tableau15[[#This Row],[FACTOR DE RIESGO]],'R R'!U$7:U$1048576),"")</f>
        <v>1.6666666666666667</v>
      </c>
      <c r="E9" s="18">
        <f t="shared" ca="1" si="0"/>
        <v>2</v>
      </c>
      <c r="F9" s="18" t="str">
        <f t="shared" ca="1" si="1"/>
        <v>BAJO</v>
      </c>
      <c r="H9" s="135" t="str">
        <f>Tablas1!B6</f>
        <v>Atención y Servicio al Cliente</v>
      </c>
      <c r="I9" s="134">
        <f>IFERROR(AVERAGEIF('R R'!$C$9:$C$1048576,Tableau13[[#This Row],[Proceso/Área de práctica]],'R R'!$T$9:$T$1048576),0)</f>
        <v>0</v>
      </c>
      <c r="J9" s="134">
        <f>IFERROR(AVERAGEIF('R R'!$C$9:$C$1048576,Tableau13[[#This Row],[Proceso/Área de práctica]],'R R'!$U$9:$U$1048576),0)</f>
        <v>0</v>
      </c>
      <c r="L9" s="80" t="str">
        <f>Tablas1!B27</f>
        <v>Riesgo Operativo</v>
      </c>
      <c r="M9" s="126">
        <f>IFERROR(AVERAGE('R R'!$S$9:$S$1048576),0)</f>
        <v>0.44000000000000006</v>
      </c>
    </row>
    <row r="10" spans="1:13" s="35" customFormat="1" ht="30" customHeight="1" x14ac:dyDescent="0.3">
      <c r="B10" s="35" t="str">
        <f>Tablas1!H8</f>
        <v>Distribuidores y Gestores</v>
      </c>
      <c r="C10" s="126">
        <f ca="1">IFERROR(AVERAGEIF('R R'!$E$7:$G$1048576,Tableau15[[#This Row],[FACTOR DE RIESGO]],'R R'!T$7:T$1048576),"")</f>
        <v>3</v>
      </c>
      <c r="D10" s="126">
        <f ca="1">IFERROR(AVERAGEIF('R R'!$E$7:$G$1048576,Tableau15[[#This Row],[FACTOR DE RIESGO]],'R R'!U$7:U$1048576),"")</f>
        <v>6.666666666666667</v>
      </c>
      <c r="E10" s="18">
        <f t="shared" ca="1" si="0"/>
        <v>20</v>
      </c>
      <c r="F10" s="18" t="str">
        <f t="shared" ca="1" si="1"/>
        <v>EXTREMO</v>
      </c>
      <c r="H10" s="135" t="str">
        <f>Tablas1!B7</f>
        <v xml:space="preserve">Explotación de JSA </v>
      </c>
      <c r="I10" s="134">
        <f>IFERROR(AVERAGEIF('R R'!$C$9:$C$1048576,Tableau13[[#This Row],[Proceso/Área de práctica]],'R R'!$T$9:$T$1048576),0)</f>
        <v>2</v>
      </c>
      <c r="J10" s="134">
        <f>IFERROR(AVERAGEIF('R R'!$C$9:$C$1048576,Tableau13[[#This Row],[Proceso/Área de práctica]],'R R'!$U$9:$U$1048576),0)</f>
        <v>2</v>
      </c>
    </row>
    <row r="11" spans="1:13" s="35" customFormat="1" ht="30" customHeight="1" x14ac:dyDescent="0.3">
      <c r="H11" s="135" t="str">
        <f>Tablas1!B8</f>
        <v>Gestión de Bienes y Servicios</v>
      </c>
      <c r="I11" s="134">
        <f>IFERROR(AVERAGEIF('R R'!$C$9:$C$1048576,Tableau13[[#This Row],[Proceso/Área de práctica]],'R R'!$T$9:$T$1048576),0)</f>
        <v>0</v>
      </c>
      <c r="J11" s="134">
        <f>IFERROR(AVERAGEIF('R R'!$C$9:$C$1048576,Tableau13[[#This Row],[Proceso/Área de práctica]],'R R'!$U$9:$U$1048576),0)</f>
        <v>0</v>
      </c>
    </row>
    <row r="12" spans="1:13" s="35" customFormat="1" ht="30" customHeight="1" x14ac:dyDescent="0.3">
      <c r="H12" s="135" t="str">
        <f>Tablas1!B9</f>
        <v>Gestión de Comunicaciones</v>
      </c>
      <c r="I12" s="134">
        <f>IFERROR(AVERAGEIF('R R'!$C$9:$C$1048576,Tableau13[[#This Row],[Proceso/Área de práctica]],'R R'!$T$9:$T$1048576),0)</f>
        <v>3</v>
      </c>
      <c r="J12" s="134">
        <f>IFERROR(AVERAGEIF('R R'!$C$9:$C$1048576,Tableau13[[#This Row],[Proceso/Área de práctica]],'R R'!$U$9:$U$1048576),0)</f>
        <v>2</v>
      </c>
    </row>
    <row r="13" spans="1:13" s="35" customFormat="1" ht="30" customHeight="1" x14ac:dyDescent="0.3">
      <c r="H13" s="135" t="str">
        <f>Tablas1!B10</f>
        <v>Gestión de Talento Humano</v>
      </c>
      <c r="I13" s="134">
        <f>IFERROR(AVERAGEIF('R R'!$C$9:$C$1048576,Tableau13[[#This Row],[Proceso/Área de práctica]],'R R'!$T$9:$T$1048576),0)</f>
        <v>0</v>
      </c>
      <c r="J13" s="134">
        <f>IFERROR(AVERAGEIF('R R'!$C$9:$C$1048576,Tableau13[[#This Row],[Proceso/Área de práctica]],'R R'!$U$9:$U$1048576),0)</f>
        <v>0</v>
      </c>
    </row>
    <row r="14" spans="1:13" s="35" customFormat="1" ht="30" customHeight="1" x14ac:dyDescent="0.3">
      <c r="H14"/>
      <c r="I14"/>
      <c r="J14"/>
    </row>
    <row r="15" spans="1:13" s="35" customFormat="1" ht="30" customHeight="1" x14ac:dyDescent="0.3">
      <c r="H15"/>
      <c r="I15"/>
      <c r="J15"/>
    </row>
    <row r="16" spans="1:13" s="35" customFormat="1" ht="30" customHeight="1" x14ac:dyDescent="0.3">
      <c r="H16"/>
      <c r="I16"/>
      <c r="J16"/>
    </row>
    <row r="17" spans="2:10" s="35" customFormat="1" ht="30" customHeight="1" x14ac:dyDescent="0.3">
      <c r="H17"/>
      <c r="I17"/>
      <c r="J17"/>
    </row>
    <row r="18" spans="2:10" s="35" customFormat="1" ht="30" customHeight="1" x14ac:dyDescent="0.3">
      <c r="B18"/>
      <c r="C18"/>
      <c r="D18"/>
      <c r="E18"/>
      <c r="F18"/>
      <c r="H18"/>
      <c r="I18"/>
      <c r="J18"/>
    </row>
    <row r="19" spans="2:10" s="35" customFormat="1" ht="30" customHeight="1" x14ac:dyDescent="0.3">
      <c r="B19"/>
      <c r="C19"/>
      <c r="D19"/>
      <c r="E19"/>
      <c r="F19"/>
      <c r="H19"/>
      <c r="I19"/>
      <c r="J19"/>
    </row>
    <row r="20" spans="2:10" s="35" customFormat="1" ht="30" customHeight="1" x14ac:dyDescent="0.3">
      <c r="B20"/>
      <c r="C20"/>
      <c r="D20"/>
      <c r="E20"/>
      <c r="F20"/>
      <c r="H20"/>
      <c r="I20"/>
      <c r="J20"/>
    </row>
  </sheetData>
  <conditionalFormatting sqref="F6:F10">
    <cfRule type="cellIs" dxfId="27" priority="6" operator="equal">
      <formula>"BAJO"</formula>
    </cfRule>
    <cfRule type="cellIs" dxfId="26" priority="7" operator="equal">
      <formula>"MEDIO"</formula>
    </cfRule>
    <cfRule type="cellIs" dxfId="25" priority="8" operator="equal">
      <formula>"EXTREMO"</formula>
    </cfRule>
    <cfRule type="cellIs" dxfId="24" priority="9" operator="equal">
      <formula>"ALTO"</formula>
    </cfRule>
  </conditionalFormatting>
  <pageMargins left="0.7" right="0.7" top="0.75" bottom="0.75" header="0.3" footer="0.3"/>
  <ignoredErrors>
    <ignoredError sqref="M6:M9" calculatedColumn="1"/>
  </ignoredErrors>
  <drawing r:id="rId1"/>
  <tableParts count="3">
    <tablePart r:id="rId2"/>
    <tablePart r:id="rId3"/>
    <tablePart r:id="rId4"/>
  </tableParts>
  <extLst>
    <ext xmlns:x14="http://schemas.microsoft.com/office/spreadsheetml/2009/9/main" uri="{CCE6A557-97BC-4b89-ADB6-D9C93CAAB3DF}">
      <x14:dataValidations xmlns:xm="http://schemas.microsoft.com/office/excel/2006/main" count="1">
        <x14:dataValidation type="list" allowBlank="1" showInputMessage="1" showErrorMessage="1">
          <x14:formula1>
            <xm:f>Tablas1!$H$3:$H$12</xm:f>
          </x14:formula1>
          <xm:sqref>B6:B10</xm:sqref>
        </x14:dataValidation>
      </x14:dataValidation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AG56"/>
  <sheetViews>
    <sheetView showGridLines="0" zoomScale="70" zoomScaleNormal="70" workbookViewId="0">
      <selection activeCell="N4" sqref="N4"/>
    </sheetView>
  </sheetViews>
  <sheetFormatPr baseColWidth="10" defaultColWidth="11.5546875" defaultRowHeight="14.4" x14ac:dyDescent="0.3"/>
  <cols>
    <col min="18" max="18" width="26" customWidth="1"/>
    <col min="19" max="19" width="7.21875" customWidth="1"/>
    <col min="30" max="30" width="17.21875" bestFit="1" customWidth="1"/>
    <col min="31" max="31" width="19" bestFit="1" customWidth="1"/>
  </cols>
  <sheetData>
    <row r="1" spans="4:33" ht="15.75" customHeight="1" x14ac:dyDescent="0.3">
      <c r="D1" s="15"/>
      <c r="E1" s="147" t="s">
        <v>195</v>
      </c>
      <c r="F1" s="148" t="s">
        <v>196</v>
      </c>
      <c r="G1" s="149"/>
      <c r="I1" s="40" t="str">
        <f>MID(J1,1,1)</f>
        <v>P</v>
      </c>
      <c r="J1" s="41" t="str">
        <f>Tablas1!$H$3</f>
        <v>Productos y/o servicios</v>
      </c>
      <c r="L1" s="40" t="str">
        <f>IF(Tablas1!$H$7="Factor5","",MID(Tablas1!$H$7,1,2))</f>
        <v>Cl</v>
      </c>
      <c r="M1" s="41" t="str">
        <f>Tablas1!$H$7</f>
        <v>Clientes</v>
      </c>
      <c r="Q1" s="45" t="str">
        <f>IF(R1=0,"",MID(R1,1,2))</f>
        <v>Co</v>
      </c>
      <c r="R1" s="44" t="str">
        <f>IF(Tablas1!$B$3=0,"",Tablas1!$B$3)</f>
        <v>Control Interno Disciplinario</v>
      </c>
      <c r="T1" s="46" t="str">
        <f>MID(U1,1,1)&amp;MID(U1,10,1)</f>
        <v>Eó</v>
      </c>
      <c r="U1" s="43" t="str">
        <f>IF(Tablas1!$B$7=0,"",Tablas1!$B$7)</f>
        <v xml:space="preserve">Explotación de JSA </v>
      </c>
      <c r="W1" s="46"/>
      <c r="X1" s="43"/>
      <c r="Y1" s="46" t="str">
        <f>MID(Z1,1,1)&amp;MID(Z1,17,1)</f>
        <v>Ga</v>
      </c>
      <c r="Z1" s="43" t="str">
        <f>IF(Tablas1!$B$11=0,"",Tablas1!$B$11)</f>
        <v>Gestión Documental</v>
      </c>
      <c r="AB1" s="46"/>
      <c r="AD1" s="46" t="str">
        <f t="shared" ref="AD1:AD2" si="0">MID(AE1,1,1)&amp;MID(AE1,17,1)</f>
        <v>Pe</v>
      </c>
      <c r="AE1" s="43" t="str">
        <f>IF(Tablas1!$B$15=0,"",Tablas1!$B$15)</f>
        <v>Planeación y Direccionamiento Estratégico</v>
      </c>
      <c r="AG1" s="46"/>
    </row>
    <row r="2" spans="4:33" ht="15.75" customHeight="1" x14ac:dyDescent="0.3">
      <c r="D2" s="15"/>
      <c r="E2" s="15"/>
      <c r="F2" s="15"/>
      <c r="G2" s="15"/>
      <c r="H2" s="15"/>
      <c r="I2" s="40" t="str">
        <f>MID(J2,1,1)</f>
        <v>C</v>
      </c>
      <c r="J2" s="41" t="str">
        <f>Tablas1!$H$4</f>
        <v>Canales comerciales y/o transaccionales</v>
      </c>
      <c r="L2" s="40" t="str">
        <f>IF(Tablas1!$H$8="Factor6","",MID(Tablas1!$H$8,1,2))</f>
        <v>Di</v>
      </c>
      <c r="M2" s="41" t="str">
        <f>Tablas1!$H$8</f>
        <v>Distribuidores y Gestores</v>
      </c>
      <c r="Q2" s="45" t="str">
        <f>MID(R2,1,1)&amp;MID(R2,3,1)</f>
        <v>Gs</v>
      </c>
      <c r="R2" s="44" t="str">
        <f>IF(Tablas1!$B$4=0,"",Tablas1!$B$4)</f>
        <v>Gestión Financiera y Contable</v>
      </c>
      <c r="T2" s="46" t="str">
        <f>MID(U2,1,2)</f>
        <v>Ge</v>
      </c>
      <c r="U2" s="43" t="str">
        <f>IF(Tablas1!$B$8=0,"",Tablas1!$B$8)</f>
        <v>Gestión de Bienes y Servicios</v>
      </c>
      <c r="W2" s="46"/>
      <c r="X2" s="43"/>
      <c r="Y2" s="46" t="str">
        <f t="shared" ref="Y2:Y4" si="1">MID(Z2,1,1)&amp;MID(Z2,17,1)</f>
        <v>Có</v>
      </c>
      <c r="Z2" s="43" t="str">
        <f>IF(Tablas1!$B$12=0,"",Tablas1!$B$12)</f>
        <v>Control Inspección y Fiscalización</v>
      </c>
      <c r="AB2" s="46"/>
      <c r="AD2" s="46" t="str">
        <f t="shared" si="0"/>
        <v>Gd</v>
      </c>
      <c r="AE2" s="43" t="str">
        <f>IF(Tablas1!$B$16=0,"",Tablas1!$B$16)</f>
        <v>Gestión de Recaudo</v>
      </c>
      <c r="AG2" s="46"/>
    </row>
    <row r="3" spans="4:33" ht="15" customHeight="1" x14ac:dyDescent="0.3">
      <c r="D3" s="15"/>
      <c r="E3" s="15"/>
      <c r="F3" s="15"/>
      <c r="G3" s="15"/>
      <c r="H3" s="15"/>
      <c r="I3" s="40" t="str">
        <f>MID(J3,1,1)</f>
        <v>J</v>
      </c>
      <c r="J3" s="41" t="str">
        <f>Tablas1!$H$5</f>
        <v>Jurisdicciones</v>
      </c>
      <c r="L3" s="40" t="str">
        <f>IF(Tablas1!$H$11="Factor7","",MID(Tablas1!$H$11,1,2))</f>
        <v>Co</v>
      </c>
      <c r="M3" s="41" t="str">
        <f>Tablas1!$H$11</f>
        <v>Contratistas</v>
      </c>
      <c r="Q3" s="45" t="str">
        <f>MID(R3,1,1)&amp;MID(R3,4,1)</f>
        <v>El</v>
      </c>
      <c r="R3" s="44" t="str">
        <f>IF(Tablas1!$B$5=0,"",Tablas1!$B$5)</f>
        <v>Evaluación Independiente y Control a la Gestión</v>
      </c>
      <c r="T3" s="46" t="str">
        <f>MID(U3,1,2)</f>
        <v>Ge</v>
      </c>
      <c r="U3" s="43" t="str">
        <f>IF(Tablas1!$B$9=0,"",Tablas1!$B$9)</f>
        <v>Gestión de Comunicaciones</v>
      </c>
      <c r="W3" s="46"/>
      <c r="X3" s="43"/>
      <c r="Y3" s="46" t="str">
        <f t="shared" si="1"/>
        <v>G</v>
      </c>
      <c r="Z3" s="43" t="str">
        <f>IF(Tablas1!$B$13=0,"",Tablas1!$B$13)</f>
        <v>Gestión Jurídica</v>
      </c>
      <c r="AB3" s="46"/>
    </row>
    <row r="4" spans="4:33" ht="15.6" customHeight="1" x14ac:dyDescent="0.3">
      <c r="D4" s="15"/>
      <c r="E4" s="15"/>
      <c r="F4" s="15"/>
      <c r="G4" s="15"/>
      <c r="H4" s="15"/>
      <c r="I4" s="40" t="str">
        <f>MID(J4,1,1)</f>
        <v>S</v>
      </c>
      <c r="J4" s="41" t="str">
        <f>Tablas1!$H$6</f>
        <v>Servidores Públicos y/o Contratistas</v>
      </c>
      <c r="L4" s="40" t="str">
        <f>IF(Tablas1!$H$11="Factor8","",MID(Tablas1!$H$11,1,2))</f>
        <v>Co</v>
      </c>
      <c r="M4" s="41" t="str">
        <f>Tablas1!$H$12</f>
        <v>Distribuidores</v>
      </c>
      <c r="Q4" s="45" t="str">
        <f>MID(R4,1,2)</f>
        <v>At</v>
      </c>
      <c r="R4" s="44" t="str">
        <f>IF(Tablas1!$B$6=0,"",Tablas1!$B$6)</f>
        <v>Atención y Servicio al Cliente</v>
      </c>
      <c r="T4" s="46" t="str">
        <f>MID(U4,1,1)&amp;MID(U4,17,1)</f>
        <v>Gt</v>
      </c>
      <c r="U4" s="43" t="str">
        <f>IF(Tablas1!$B$10=0,"",Tablas1!$B$10)</f>
        <v>Gestión de Talento Humano</v>
      </c>
      <c r="W4" s="46"/>
      <c r="X4" s="43"/>
      <c r="Y4" s="46" t="str">
        <f t="shared" si="1"/>
        <v>Ge</v>
      </c>
      <c r="Z4" s="43" t="str">
        <f>IF(Tablas1!$B$14=0,"",Tablas1!$B$14)</f>
        <v>Gestión de las Tecnologías y la Información</v>
      </c>
      <c r="AB4" s="46"/>
    </row>
    <row r="5" spans="4:33" ht="15.75" customHeight="1" x14ac:dyDescent="0.3">
      <c r="D5" s="15"/>
      <c r="E5" s="15"/>
      <c r="F5" s="15"/>
      <c r="G5" s="15"/>
      <c r="H5" s="15"/>
      <c r="P5" s="38"/>
      <c r="Q5" s="38"/>
      <c r="R5" s="38"/>
      <c r="X5" s="39"/>
      <c r="AB5" s="17"/>
    </row>
    <row r="6" spans="4:33" ht="15" customHeight="1" x14ac:dyDescent="0.3">
      <c r="D6" s="15"/>
      <c r="E6" s="15"/>
      <c r="F6" s="15"/>
      <c r="G6" s="15"/>
      <c r="H6" s="15"/>
      <c r="P6" s="38"/>
      <c r="Q6" s="38"/>
      <c r="R6" s="38"/>
      <c r="X6" s="39"/>
      <c r="AB6" s="17"/>
    </row>
    <row r="7" spans="4:33" ht="15.6" x14ac:dyDescent="0.3">
      <c r="P7" s="38"/>
      <c r="Q7" s="38"/>
      <c r="R7" s="38"/>
    </row>
    <row r="8" spans="4:33" ht="22.5" customHeight="1" x14ac:dyDescent="0.3"/>
    <row r="17" spans="1:27" ht="15.75" customHeight="1" x14ac:dyDescent="0.3"/>
    <row r="21" spans="1:27" ht="15" customHeight="1" x14ac:dyDescent="0.3"/>
    <row r="30" spans="1:27" ht="20.25" customHeight="1" x14ac:dyDescent="0.3"/>
    <row r="31" spans="1:27" ht="32.25" customHeight="1" x14ac:dyDescent="0.3">
      <c r="A31" s="232" t="s">
        <v>221</v>
      </c>
      <c r="B31" s="232"/>
      <c r="C31" s="232"/>
      <c r="D31" s="232"/>
      <c r="E31" s="232"/>
      <c r="F31" s="232"/>
      <c r="G31" s="232"/>
      <c r="H31" s="232"/>
      <c r="I31" s="232"/>
      <c r="J31" s="232"/>
      <c r="K31" s="232"/>
      <c r="L31" s="232"/>
      <c r="M31" s="232"/>
      <c r="N31" s="232"/>
      <c r="O31" s="232"/>
      <c r="P31" s="232"/>
      <c r="Q31" s="232"/>
      <c r="R31" s="232"/>
      <c r="S31" s="232"/>
      <c r="T31" s="232"/>
      <c r="U31" s="232"/>
      <c r="V31" s="232"/>
      <c r="W31" s="232"/>
      <c r="X31" s="232"/>
      <c r="Y31" s="232"/>
      <c r="Z31" s="20"/>
      <c r="AA31" s="20"/>
    </row>
    <row r="32" spans="1:27" ht="18" customHeight="1" x14ac:dyDescent="0.3"/>
    <row r="33" spans="5:32" ht="18" customHeight="1" x14ac:dyDescent="0.3"/>
    <row r="34" spans="5:32" ht="15" customHeight="1" x14ac:dyDescent="0.3">
      <c r="I34" s="40" t="str">
        <f>MID(J34,1,1)</f>
        <v>P</v>
      </c>
      <c r="J34" s="41" t="str">
        <f>Tablas1!$H$3</f>
        <v>Productos y/o servicios</v>
      </c>
      <c r="L34" s="40" t="str">
        <f>IF(Tablas1!$H$7="Factor5","",MID(Tablas1!$H$7,1,2))</f>
        <v>Cl</v>
      </c>
      <c r="M34" s="41" t="str">
        <f>Tablas1!$H$7</f>
        <v>Clientes</v>
      </c>
      <c r="Q34" s="45" t="str">
        <f>IF($R$34=0,"",MID($R$34,1,2))</f>
        <v>Co</v>
      </c>
      <c r="R34" s="44" t="str">
        <f>IF(Tablas1!$B$3=0,"",Tablas1!$B$3)</f>
        <v>Control Interno Disciplinario</v>
      </c>
      <c r="T34" s="46" t="str">
        <f>MID(U34,1,1)&amp;MID(U34,10,1)</f>
        <v>Eó</v>
      </c>
      <c r="U34" s="43" t="str">
        <f>IF(Tablas1!$B$7=0,"",Tablas1!$B$7)</f>
        <v xml:space="preserve">Explotación de JSA </v>
      </c>
      <c r="W34" s="46" t="s">
        <v>420</v>
      </c>
      <c r="X34" s="43" t="str">
        <f>IF(Tablas1!$B$11=0,"",Tablas1!$B$11)</f>
        <v>Gestión Documental</v>
      </c>
      <c r="Z34" s="46"/>
      <c r="AA34" s="43"/>
      <c r="AB34" s="46" t="s">
        <v>422</v>
      </c>
      <c r="AC34" s="43" t="str">
        <f>IF(Tablas1!$B$15=0,"",Tablas1!$B$15)</f>
        <v>Planeación y Direccionamiento Estratégico</v>
      </c>
      <c r="AE34" s="46"/>
      <c r="AF34" s="43"/>
    </row>
    <row r="35" spans="5:32" ht="21.75" customHeight="1" x14ac:dyDescent="0.3">
      <c r="I35" s="40" t="str">
        <f>MID($J$2,1,1)</f>
        <v>C</v>
      </c>
      <c r="J35" s="41" t="str">
        <f>Tablas1!$H$4</f>
        <v>Canales comerciales y/o transaccionales</v>
      </c>
      <c r="L35" s="40" t="str">
        <f>IF(Tablas1!$H$8="Factor5","",MID(Tablas1!$H$8,1,2))</f>
        <v>Di</v>
      </c>
      <c r="M35" s="41" t="str">
        <f>Tablas1!$H$8</f>
        <v>Distribuidores y Gestores</v>
      </c>
      <c r="Q35" s="45" t="str">
        <f>MID(R35,1,1)&amp;MID(R35,3,1)</f>
        <v>Gs</v>
      </c>
      <c r="R35" s="44" t="str">
        <f>IF(Tablas1!$B$4=0,"",Tablas1!$B$4)</f>
        <v>Gestión Financiera y Contable</v>
      </c>
      <c r="T35" s="46" t="str">
        <f>MID(U35,1,2)</f>
        <v>Ge</v>
      </c>
      <c r="U35" s="43" t="str">
        <f>IF(Tablas1!$B$8=0,"",Tablas1!$B$8)</f>
        <v>Gestión de Bienes y Servicios</v>
      </c>
      <c r="W35" s="46" t="s">
        <v>419</v>
      </c>
      <c r="X35" s="43" t="str">
        <f>IF(Tablas1!$B$12=0,"",Tablas1!$B$12)</f>
        <v>Control Inspección y Fiscalización</v>
      </c>
      <c r="Z35" s="46"/>
      <c r="AA35" s="43"/>
      <c r="AB35" s="46" t="s">
        <v>421</v>
      </c>
      <c r="AC35" s="43" t="str">
        <f>IF(Tablas1!$B$16=0,"",Tablas1!$B$16)</f>
        <v>Gestión de Recaudo</v>
      </c>
      <c r="AF35" s="43"/>
    </row>
    <row r="36" spans="5:32" ht="15" customHeight="1" x14ac:dyDescent="0.3">
      <c r="E36" s="147" t="s">
        <v>198</v>
      </c>
      <c r="F36" s="148" t="s">
        <v>197</v>
      </c>
      <c r="G36" s="149"/>
      <c r="I36" s="40" t="str">
        <f>MID($J$3,1,1)</f>
        <v>J</v>
      </c>
      <c r="J36" s="41" t="str">
        <f>Tablas1!$H$5</f>
        <v>Jurisdicciones</v>
      </c>
      <c r="L36" s="40" t="str">
        <f>IF(Tablas1!$H$11="Factor5","",MID(Tablas1!$H$11,1,2))</f>
        <v>Co</v>
      </c>
      <c r="M36" s="41" t="str">
        <f>Tablas1!$H$11</f>
        <v>Contratistas</v>
      </c>
      <c r="Q36" s="45" t="str">
        <f>MID(R36,1,1)&amp;MID(R36,4,1)</f>
        <v>El</v>
      </c>
      <c r="R36" s="44" t="str">
        <f>IF(Tablas1!$B$5=0,"",Tablas1!$B$5)</f>
        <v>Evaluación Independiente y Control a la Gestión</v>
      </c>
      <c r="T36" s="46" t="str">
        <f>MID(U36,1,2)</f>
        <v>Ge</v>
      </c>
      <c r="U36" s="43" t="str">
        <f>IF(Tablas1!$B$9=0,"",Tablas1!$B$9)</f>
        <v>Gestión de Comunicaciones</v>
      </c>
      <c r="W36" s="46" t="s">
        <v>422</v>
      </c>
      <c r="X36" s="43" t="str">
        <f>IF(Tablas1!$B$13=0,"",Tablas1!$B$13)</f>
        <v>Gestión Jurídica</v>
      </c>
      <c r="Z36" s="46"/>
      <c r="AA36" s="43"/>
    </row>
    <row r="37" spans="5:32" ht="15" customHeight="1" x14ac:dyDescent="0.3">
      <c r="I37" s="40" t="str">
        <f>MID($J$4,1,1)</f>
        <v>S</v>
      </c>
      <c r="J37" s="41" t="str">
        <f>Tablas1!$H$6</f>
        <v>Servidores Públicos y/o Contratistas</v>
      </c>
      <c r="L37" s="40" t="str">
        <f>IF(Tablas1!$H$11="Factor8","",MID(Tablas1!$H$11,1,2))</f>
        <v>Co</v>
      </c>
      <c r="M37" s="41" t="str">
        <f>Tablas1!$H$12</f>
        <v>Distribuidores</v>
      </c>
      <c r="Q37" s="45" t="str">
        <f>MID(R37,1,2)</f>
        <v>At</v>
      </c>
      <c r="R37" s="44" t="str">
        <f>IF(Tablas1!$B$6=0,"",Tablas1!$B$6)</f>
        <v>Atención y Servicio al Cliente</v>
      </c>
      <c r="T37" s="46" t="str">
        <f>MID(U37,1,1)&amp;MID(U37,17,1)</f>
        <v>Gt</v>
      </c>
      <c r="U37" s="43" t="str">
        <f>IF(Tablas1!$B$10=0,"",Tablas1!$B$10)</f>
        <v>Gestión de Talento Humano</v>
      </c>
      <c r="W37" s="46" t="s">
        <v>421</v>
      </c>
      <c r="X37" s="43" t="str">
        <f>IF(Tablas1!$B$14=0,"",Tablas1!$B$14)</f>
        <v>Gestión de las Tecnologías y la Información</v>
      </c>
      <c r="AA37" s="43"/>
    </row>
    <row r="38" spans="5:32" ht="19.5" customHeight="1" x14ac:dyDescent="0.3">
      <c r="P38" s="38"/>
      <c r="Q38" s="38"/>
      <c r="R38" s="38"/>
      <c r="X38" s="39"/>
    </row>
    <row r="39" spans="5:32" ht="19.5" customHeight="1" x14ac:dyDescent="0.3"/>
    <row r="40" spans="5:32" ht="19.5" customHeight="1" x14ac:dyDescent="0.3"/>
    <row r="41" spans="5:32" ht="19.5" customHeight="1" x14ac:dyDescent="0.3"/>
    <row r="42" spans="5:32" ht="19.5" customHeight="1" x14ac:dyDescent="0.3"/>
    <row r="43" spans="5:32" ht="19.5" customHeight="1" x14ac:dyDescent="0.3"/>
    <row r="44" spans="5:32" ht="15" customHeight="1" x14ac:dyDescent="0.3"/>
    <row r="45" spans="5:32" ht="15" customHeight="1" x14ac:dyDescent="0.3"/>
    <row r="46" spans="5:32" ht="15" customHeight="1" x14ac:dyDescent="0.3"/>
    <row r="47" spans="5:32" ht="15" customHeight="1" x14ac:dyDescent="0.3"/>
    <row r="48" spans="5:32" ht="15" customHeight="1" x14ac:dyDescent="0.3"/>
    <row r="49" ht="15" customHeight="1" x14ac:dyDescent="0.3"/>
    <row r="50" ht="15" customHeight="1" x14ac:dyDescent="0.3"/>
    <row r="51" ht="15" customHeight="1" x14ac:dyDescent="0.3"/>
    <row r="52" ht="15" customHeight="1" x14ac:dyDescent="0.3"/>
    <row r="53" ht="15" customHeight="1" x14ac:dyDescent="0.3"/>
    <row r="54" ht="15" customHeight="1" x14ac:dyDescent="0.3"/>
    <row r="55" ht="15" customHeight="1" x14ac:dyDescent="0.3"/>
    <row r="56" ht="15" customHeight="1" x14ac:dyDescent="0.3"/>
  </sheetData>
  <mergeCells count="1">
    <mergeCell ref="A31:Y31"/>
  </mergeCells>
  <conditionalFormatting sqref="L1:M1 L34:M34 L35:L36 L2:L4">
    <cfRule type="expression" dxfId="5" priority="11">
      <formula>$M$1="Factor5"</formula>
    </cfRule>
  </conditionalFormatting>
  <conditionalFormatting sqref="M2 M35">
    <cfRule type="expression" dxfId="4" priority="10">
      <formula>$M$2="Factor6"</formula>
    </cfRule>
  </conditionalFormatting>
  <conditionalFormatting sqref="M3 M36">
    <cfRule type="expression" dxfId="3" priority="9">
      <formula>$M$3="Factor7"</formula>
    </cfRule>
  </conditionalFormatting>
  <conditionalFormatting sqref="M4">
    <cfRule type="expression" dxfId="2" priority="3">
      <formula>$M$3="Factor7"</formula>
    </cfRule>
  </conditionalFormatting>
  <conditionalFormatting sqref="L37">
    <cfRule type="expression" dxfId="1" priority="2">
      <formula>$M$1="Factor5"</formula>
    </cfRule>
  </conditionalFormatting>
  <conditionalFormatting sqref="M37">
    <cfRule type="expression" dxfId="0" priority="1">
      <formula>$M$3="Factor7"</formula>
    </cfRule>
  </conditionalFormatting>
  <pageMargins left="0.7" right="0.7" top="0.75" bottom="0.75" header="0.3" footer="0.3"/>
  <pageSetup paperSize="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G26"/>
  <sheetViews>
    <sheetView workbookViewId="0">
      <selection activeCell="C27" sqref="C27"/>
    </sheetView>
  </sheetViews>
  <sheetFormatPr baseColWidth="10" defaultColWidth="11.5546875" defaultRowHeight="14.4" x14ac:dyDescent="0.3"/>
  <cols>
    <col min="1" max="1" width="25.77734375" customWidth="1"/>
    <col min="2" max="2" width="17.21875" customWidth="1"/>
    <col min="3" max="3" width="31.77734375" customWidth="1"/>
    <col min="4" max="4" width="17.21875" customWidth="1"/>
    <col min="5" max="5" width="23.21875" customWidth="1"/>
    <col min="6" max="6" width="38" customWidth="1"/>
  </cols>
  <sheetData>
    <row r="1" spans="1:7" s="5" customFormat="1" x14ac:dyDescent="0.3">
      <c r="A1" s="7" t="s">
        <v>12</v>
      </c>
      <c r="B1" s="7" t="s">
        <v>13</v>
      </c>
      <c r="C1" s="7" t="s">
        <v>48</v>
      </c>
      <c r="D1" s="7" t="s">
        <v>49</v>
      </c>
      <c r="E1" s="7" t="s">
        <v>14</v>
      </c>
      <c r="F1" s="7" t="s">
        <v>23</v>
      </c>
      <c r="G1" s="9" t="s">
        <v>32</v>
      </c>
    </row>
    <row r="2" spans="1:7" x14ac:dyDescent="0.3">
      <c r="A2" s="13" t="s">
        <v>50</v>
      </c>
      <c r="B2" s="13" t="s">
        <v>15</v>
      </c>
      <c r="C2" s="8" t="s">
        <v>56</v>
      </c>
      <c r="D2" s="235" t="s">
        <v>15</v>
      </c>
      <c r="E2" s="8" t="s">
        <v>22</v>
      </c>
      <c r="F2" s="8" t="s">
        <v>24</v>
      </c>
      <c r="G2" s="10" t="s">
        <v>33</v>
      </c>
    </row>
    <row r="3" spans="1:7" x14ac:dyDescent="0.3">
      <c r="A3" s="8" t="s">
        <v>51</v>
      </c>
      <c r="B3" s="8" t="s">
        <v>16</v>
      </c>
      <c r="C3" s="8" t="s">
        <v>57</v>
      </c>
      <c r="D3" s="236"/>
      <c r="E3" s="8" t="s">
        <v>10</v>
      </c>
      <c r="F3" s="8" t="s">
        <v>25</v>
      </c>
      <c r="G3" s="10" t="s">
        <v>34</v>
      </c>
    </row>
    <row r="4" spans="1:7" x14ac:dyDescent="0.3">
      <c r="A4" s="8" t="s">
        <v>52</v>
      </c>
      <c r="B4" s="8" t="s">
        <v>17</v>
      </c>
      <c r="C4" s="8" t="s">
        <v>58</v>
      </c>
      <c r="D4" s="233" t="s">
        <v>16</v>
      </c>
      <c r="E4" s="8" t="s">
        <v>11</v>
      </c>
      <c r="F4" s="8" t="s">
        <v>26</v>
      </c>
      <c r="G4" s="10" t="s">
        <v>35</v>
      </c>
    </row>
    <row r="5" spans="1:7" x14ac:dyDescent="0.3">
      <c r="A5" s="8" t="s">
        <v>53</v>
      </c>
      <c r="B5" s="8" t="s">
        <v>18</v>
      </c>
      <c r="C5" s="8" t="s">
        <v>59</v>
      </c>
      <c r="D5" s="234"/>
      <c r="E5" s="8" t="s">
        <v>9</v>
      </c>
      <c r="F5" s="8" t="s">
        <v>27</v>
      </c>
      <c r="G5" s="10" t="s">
        <v>36</v>
      </c>
    </row>
    <row r="6" spans="1:7" x14ac:dyDescent="0.3">
      <c r="A6" s="8" t="s">
        <v>54</v>
      </c>
      <c r="B6" s="8" t="s">
        <v>19</v>
      </c>
      <c r="C6" s="12" t="s">
        <v>60</v>
      </c>
      <c r="D6" s="234"/>
      <c r="F6" s="8" t="s">
        <v>28</v>
      </c>
      <c r="G6" s="11" t="s">
        <v>37</v>
      </c>
    </row>
    <row r="7" spans="1:7" x14ac:dyDescent="0.3">
      <c r="A7" s="8" t="s">
        <v>55</v>
      </c>
      <c r="B7" s="8" t="s">
        <v>20</v>
      </c>
      <c r="C7" s="12" t="s">
        <v>61</v>
      </c>
      <c r="D7" s="234"/>
      <c r="F7" s="8" t="s">
        <v>29</v>
      </c>
    </row>
    <row r="8" spans="1:7" x14ac:dyDescent="0.3">
      <c r="A8" s="8" t="s">
        <v>83</v>
      </c>
      <c r="B8" s="8" t="s">
        <v>84</v>
      </c>
      <c r="C8" s="12" t="s">
        <v>62</v>
      </c>
      <c r="D8" s="234"/>
      <c r="F8" s="8" t="s">
        <v>30</v>
      </c>
    </row>
    <row r="9" spans="1:7" x14ac:dyDescent="0.3">
      <c r="C9" s="12" t="s">
        <v>63</v>
      </c>
      <c r="D9" s="234" t="s">
        <v>78</v>
      </c>
      <c r="F9" s="8" t="s">
        <v>31</v>
      </c>
    </row>
    <row r="10" spans="1:7" x14ac:dyDescent="0.3">
      <c r="C10" s="12" t="s">
        <v>64</v>
      </c>
      <c r="D10" s="234"/>
    </row>
    <row r="11" spans="1:7" x14ac:dyDescent="0.3">
      <c r="C11" s="12" t="s">
        <v>79</v>
      </c>
      <c r="D11" s="234"/>
    </row>
    <row r="12" spans="1:7" x14ac:dyDescent="0.3">
      <c r="C12" s="12" t="s">
        <v>65</v>
      </c>
      <c r="D12" s="234"/>
    </row>
    <row r="13" spans="1:7" x14ac:dyDescent="0.3">
      <c r="C13" s="12" t="s">
        <v>66</v>
      </c>
      <c r="D13" s="234"/>
    </row>
    <row r="14" spans="1:7" x14ac:dyDescent="0.3">
      <c r="C14" s="12" t="s">
        <v>67</v>
      </c>
      <c r="D14" s="234"/>
    </row>
    <row r="15" spans="1:7" x14ac:dyDescent="0.3">
      <c r="C15" s="12" t="s">
        <v>80</v>
      </c>
      <c r="D15" s="234"/>
    </row>
    <row r="16" spans="1:7" x14ac:dyDescent="0.3">
      <c r="C16" s="12" t="s">
        <v>68</v>
      </c>
      <c r="D16" s="234" t="s">
        <v>77</v>
      </c>
    </row>
    <row r="17" spans="3:4" x14ac:dyDescent="0.3">
      <c r="C17" s="12" t="s">
        <v>69</v>
      </c>
      <c r="D17" s="234"/>
    </row>
    <row r="18" spans="3:4" x14ac:dyDescent="0.3">
      <c r="C18" s="12" t="s">
        <v>70</v>
      </c>
      <c r="D18" s="234"/>
    </row>
    <row r="19" spans="3:4" x14ac:dyDescent="0.3">
      <c r="C19" s="12" t="s">
        <v>71</v>
      </c>
      <c r="D19" s="234"/>
    </row>
    <row r="20" spans="3:4" x14ac:dyDescent="0.3">
      <c r="C20" s="12" t="s">
        <v>72</v>
      </c>
      <c r="D20" s="234"/>
    </row>
    <row r="21" spans="3:4" x14ac:dyDescent="0.3">
      <c r="C21" s="12" t="s">
        <v>61</v>
      </c>
      <c r="D21" s="234"/>
    </row>
    <row r="22" spans="3:4" x14ac:dyDescent="0.3">
      <c r="C22" s="12" t="s">
        <v>82</v>
      </c>
      <c r="D22" s="234"/>
    </row>
    <row r="23" spans="3:4" x14ac:dyDescent="0.3">
      <c r="C23" s="12" t="s">
        <v>73</v>
      </c>
      <c r="D23" s="234"/>
    </row>
    <row r="24" spans="3:4" x14ac:dyDescent="0.3">
      <c r="C24" s="12" t="s">
        <v>74</v>
      </c>
      <c r="D24" s="1" t="s">
        <v>19</v>
      </c>
    </row>
    <row r="25" spans="3:4" x14ac:dyDescent="0.3">
      <c r="C25" s="12" t="s">
        <v>75</v>
      </c>
      <c r="D25" s="233" t="s">
        <v>20</v>
      </c>
    </row>
    <row r="26" spans="3:4" x14ac:dyDescent="0.3">
      <c r="C26" s="12" t="s">
        <v>76</v>
      </c>
      <c r="D26" s="234"/>
    </row>
  </sheetData>
  <mergeCells count="5">
    <mergeCell ref="D25:D26"/>
    <mergeCell ref="D16:D23"/>
    <mergeCell ref="D9:D15"/>
    <mergeCell ref="D4:D8"/>
    <mergeCell ref="D2:D3"/>
  </mergeCells>
  <pageMargins left="0.7" right="0.7" top="0.75" bottom="0.75" header="0.3" footer="0.3"/>
  <pageSetup paperSize="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dimension ref="A1:E29"/>
  <sheetViews>
    <sheetView showGridLines="0" showRowColHeaders="0" tabSelected="1" zoomScale="70" zoomScaleNormal="70" workbookViewId="0">
      <pane ySplit="27" topLeftCell="A28" activePane="bottomLeft" state="frozen"/>
      <selection pane="bottomLeft" activeCell="E27" sqref="E27"/>
    </sheetView>
  </sheetViews>
  <sheetFormatPr baseColWidth="10" defaultColWidth="0" defaultRowHeight="14.25" customHeight="1" zeroHeight="1" x14ac:dyDescent="0.3"/>
  <cols>
    <col min="1" max="4" width="12.21875" style="60" customWidth="1"/>
    <col min="5" max="5" width="100.77734375" style="60" customWidth="1"/>
    <col min="6" max="16384" width="12.21875" style="60" hidden="1"/>
  </cols>
  <sheetData>
    <row r="1" spans="1:5" ht="14.25" customHeight="1" x14ac:dyDescent="0.3">
      <c r="A1" s="62"/>
      <c r="B1" s="62"/>
      <c r="C1" s="62"/>
      <c r="D1" s="62"/>
      <c r="E1" s="62"/>
    </row>
    <row r="2" spans="1:5" ht="14.25" customHeight="1" x14ac:dyDescent="0.3">
      <c r="A2" s="62"/>
      <c r="B2" s="62"/>
      <c r="C2" s="62"/>
      <c r="D2" s="62"/>
      <c r="E2" s="62"/>
    </row>
    <row r="3" spans="1:5" ht="14.25" customHeight="1" x14ac:dyDescent="0.3">
      <c r="A3" s="62"/>
      <c r="B3" s="62"/>
      <c r="C3" s="62"/>
      <c r="D3" s="62"/>
      <c r="E3" s="62"/>
    </row>
    <row r="4" spans="1:5" ht="100.05" customHeight="1" x14ac:dyDescent="0.3">
      <c r="A4" s="62"/>
      <c r="B4" s="62"/>
      <c r="C4" s="62"/>
      <c r="D4" s="62"/>
      <c r="E4" s="62"/>
    </row>
    <row r="5" spans="1:5" ht="14.25" customHeight="1" x14ac:dyDescent="0.3">
      <c r="A5" s="62"/>
      <c r="B5" s="62"/>
      <c r="C5" s="62"/>
      <c r="D5" s="62"/>
      <c r="E5" s="62"/>
    </row>
    <row r="6" spans="1:5" ht="14.25" customHeight="1" x14ac:dyDescent="0.3">
      <c r="A6" s="62"/>
      <c r="B6" s="62"/>
      <c r="C6" s="62"/>
      <c r="D6" s="62"/>
      <c r="E6" s="62"/>
    </row>
    <row r="7" spans="1:5" ht="14.25" customHeight="1" x14ac:dyDescent="0.3">
      <c r="A7" s="63"/>
      <c r="B7" s="64"/>
      <c r="C7" s="62"/>
      <c r="D7" s="62"/>
      <c r="E7" s="62"/>
    </row>
    <row r="8" spans="1:5" ht="14.25" customHeight="1" x14ac:dyDescent="0.3">
      <c r="A8" s="65"/>
      <c r="B8" s="66"/>
      <c r="C8" s="62"/>
      <c r="D8" s="62"/>
      <c r="E8" s="62"/>
    </row>
    <row r="9" spans="1:5" ht="14.25" customHeight="1" x14ac:dyDescent="0.3">
      <c r="A9" s="62"/>
      <c r="B9" s="62"/>
      <c r="C9" s="62"/>
      <c r="D9" s="62"/>
      <c r="E9" s="62"/>
    </row>
    <row r="10" spans="1:5" ht="14.25" customHeight="1" x14ac:dyDescent="0.3">
      <c r="A10" s="62"/>
      <c r="B10" s="62"/>
      <c r="C10" s="62"/>
      <c r="D10" s="62"/>
      <c r="E10" s="62"/>
    </row>
    <row r="11" spans="1:5" ht="14.25" customHeight="1" x14ac:dyDescent="0.3">
      <c r="A11" s="62"/>
      <c r="B11" s="62"/>
      <c r="C11" s="62"/>
      <c r="D11" s="62"/>
      <c r="E11" s="62"/>
    </row>
    <row r="12" spans="1:5" ht="14.25" customHeight="1" x14ac:dyDescent="0.3">
      <c r="A12" s="62"/>
      <c r="B12" s="62"/>
      <c r="C12" s="62"/>
      <c r="D12" s="62"/>
      <c r="E12" s="62"/>
    </row>
    <row r="13" spans="1:5" ht="14.25" customHeight="1" x14ac:dyDescent="0.3">
      <c r="A13" s="62"/>
      <c r="B13" s="62"/>
      <c r="C13" s="62"/>
      <c r="D13" s="62"/>
      <c r="E13" s="62"/>
    </row>
    <row r="14" spans="1:5" ht="14.25" customHeight="1" x14ac:dyDescent="0.3">
      <c r="A14" s="62"/>
      <c r="B14" s="62"/>
      <c r="C14" s="62"/>
      <c r="D14" s="62"/>
      <c r="E14" s="62"/>
    </row>
    <row r="15" spans="1:5" ht="14.25" customHeight="1" x14ac:dyDescent="0.3">
      <c r="A15" s="62"/>
      <c r="B15" s="62"/>
      <c r="C15" s="62"/>
      <c r="D15" s="62"/>
      <c r="E15" s="62"/>
    </row>
    <row r="16" spans="1:5" ht="14.25" customHeight="1" x14ac:dyDescent="0.3">
      <c r="A16" s="62"/>
      <c r="B16" s="62"/>
      <c r="C16" s="62"/>
      <c r="D16" s="62"/>
      <c r="E16" s="62"/>
    </row>
    <row r="17" spans="1:5" ht="14.25" customHeight="1" x14ac:dyDescent="0.3">
      <c r="A17" s="62"/>
      <c r="B17" s="62"/>
      <c r="C17" s="62"/>
      <c r="D17" s="62"/>
      <c r="E17" s="62"/>
    </row>
    <row r="18" spans="1:5" ht="14.25" customHeight="1" x14ac:dyDescent="0.3">
      <c r="A18" s="62"/>
      <c r="B18" s="62"/>
      <c r="C18" s="62"/>
      <c r="D18" s="62"/>
      <c r="E18" s="62"/>
    </row>
    <row r="19" spans="1:5" ht="14.25" customHeight="1" x14ac:dyDescent="0.3">
      <c r="A19" s="62"/>
      <c r="B19" s="62"/>
      <c r="C19" s="62"/>
      <c r="D19" s="62"/>
      <c r="E19" s="62"/>
    </row>
    <row r="20" spans="1:5" ht="14.25" customHeight="1" x14ac:dyDescent="0.3">
      <c r="A20" s="62"/>
      <c r="B20" s="62"/>
      <c r="C20" s="62"/>
      <c r="D20" s="62"/>
      <c r="E20" s="62"/>
    </row>
    <row r="21" spans="1:5" ht="14.25" customHeight="1" x14ac:dyDescent="0.3">
      <c r="A21" s="62"/>
      <c r="B21" s="62"/>
      <c r="C21" s="62"/>
      <c r="D21" s="62"/>
      <c r="E21" s="62"/>
    </row>
    <row r="22" spans="1:5" ht="14.25" customHeight="1" x14ac:dyDescent="0.3">
      <c r="A22" s="62"/>
      <c r="B22" s="62"/>
      <c r="C22" s="62"/>
      <c r="D22" s="62"/>
      <c r="E22" s="62"/>
    </row>
    <row r="23" spans="1:5" ht="14.25" customHeight="1" x14ac:dyDescent="0.3">
      <c r="A23" s="62"/>
      <c r="B23" s="62"/>
      <c r="C23" s="62"/>
      <c r="D23" s="62"/>
      <c r="E23" s="62"/>
    </row>
    <row r="24" spans="1:5" ht="14.25" customHeight="1" x14ac:dyDescent="0.3">
      <c r="A24" s="62"/>
      <c r="B24" s="62"/>
      <c r="C24" s="62"/>
      <c r="D24" s="62"/>
      <c r="E24" s="62"/>
    </row>
    <row r="25" spans="1:5" ht="14.25" customHeight="1" x14ac:dyDescent="0.3">
      <c r="A25" s="62"/>
      <c r="B25" s="62"/>
      <c r="C25" s="62"/>
      <c r="D25" s="62"/>
      <c r="E25" s="62"/>
    </row>
    <row r="26" spans="1:5" ht="14.25" customHeight="1" x14ac:dyDescent="0.3">
      <c r="A26" s="62"/>
      <c r="B26" s="62"/>
      <c r="C26" s="62"/>
      <c r="D26" s="62"/>
      <c r="E26" s="165" t="s">
        <v>636</v>
      </c>
    </row>
    <row r="27" spans="1:5" ht="14.25" customHeight="1" x14ac:dyDescent="0.3">
      <c r="A27" s="62"/>
      <c r="B27" s="62"/>
      <c r="C27" s="62"/>
      <c r="D27" s="62"/>
      <c r="E27" s="62"/>
    </row>
    <row r="28" spans="1:5" ht="14.25" customHeight="1" x14ac:dyDescent="0.3">
      <c r="A28" s="62"/>
      <c r="B28" s="62"/>
      <c r="C28" s="62"/>
      <c r="D28" s="62"/>
      <c r="E28" s="62"/>
    </row>
    <row r="29" spans="1:5" ht="14.25" customHeight="1" x14ac:dyDescent="0.3">
      <c r="A29" s="62"/>
      <c r="B29" s="62"/>
      <c r="C29" s="62"/>
      <c r="D29" s="62"/>
      <c r="E29" s="62"/>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pageSetUpPr fitToPage="1"/>
  </sheetPr>
  <dimension ref="B1:M48"/>
  <sheetViews>
    <sheetView showGridLines="0" workbookViewId="0">
      <selection activeCell="H24" sqref="H24"/>
    </sheetView>
  </sheetViews>
  <sheetFormatPr baseColWidth="10" defaultColWidth="11.5546875" defaultRowHeight="14.4" x14ac:dyDescent="0.3"/>
  <cols>
    <col min="1" max="1" width="3.21875" customWidth="1"/>
    <col min="2" max="2" width="33.21875" customWidth="1"/>
    <col min="3" max="3" width="20.5546875" bestFit="1" customWidth="1"/>
    <col min="4" max="4" width="8.21875" customWidth="1"/>
    <col min="5" max="5" width="50.77734375" bestFit="1" customWidth="1"/>
    <col min="6" max="6" width="22.77734375" customWidth="1"/>
    <col min="7" max="7" width="6.5546875" customWidth="1"/>
    <col min="8" max="8" width="46.21875" customWidth="1"/>
    <col min="9" max="9" width="17.21875" customWidth="1"/>
    <col min="10" max="10" width="6.77734375" customWidth="1"/>
    <col min="11" max="11" width="37.77734375" customWidth="1"/>
    <col min="13" max="13" width="18" bestFit="1" customWidth="1"/>
    <col min="15" max="15" width="37.77734375" customWidth="1"/>
    <col min="16" max="16" width="20.5546875" customWidth="1"/>
  </cols>
  <sheetData>
    <row r="1" spans="2:13" ht="57" customHeight="1" x14ac:dyDescent="0.3"/>
    <row r="2" spans="2:13" x14ac:dyDescent="0.3">
      <c r="B2" s="24" t="s">
        <v>271</v>
      </c>
      <c r="C2" t="s">
        <v>272</v>
      </c>
      <c r="D2" s="5"/>
      <c r="E2" t="s">
        <v>224</v>
      </c>
      <c r="F2" t="s">
        <v>225</v>
      </c>
      <c r="G2" s="37"/>
      <c r="H2" t="s">
        <v>222</v>
      </c>
      <c r="I2" t="s">
        <v>223</v>
      </c>
      <c r="J2" s="48"/>
      <c r="K2" s="49"/>
      <c r="L2" s="49"/>
      <c r="M2" s="49"/>
    </row>
    <row r="3" spans="2:13" x14ac:dyDescent="0.3">
      <c r="B3" s="151" t="s">
        <v>464</v>
      </c>
      <c r="C3" s="83" t="s">
        <v>15</v>
      </c>
      <c r="D3" s="35"/>
      <c r="E3" s="83" t="s">
        <v>509</v>
      </c>
      <c r="F3" s="83" t="s">
        <v>15</v>
      </c>
      <c r="G3" s="18"/>
      <c r="H3" s="83" t="s">
        <v>435</v>
      </c>
      <c r="I3" s="83" t="s">
        <v>169</v>
      </c>
      <c r="J3" s="24" t="s">
        <v>188</v>
      </c>
      <c r="K3" s="47"/>
      <c r="L3" s="47"/>
      <c r="M3" s="50"/>
    </row>
    <row r="4" spans="2:13" x14ac:dyDescent="0.3">
      <c r="B4" s="151" t="s">
        <v>458</v>
      </c>
      <c r="C4" s="83" t="s">
        <v>16</v>
      </c>
      <c r="E4" s="83" t="s">
        <v>511</v>
      </c>
      <c r="F4" s="83" t="s">
        <v>16</v>
      </c>
      <c r="G4" s="18"/>
      <c r="H4" s="83" t="s">
        <v>243</v>
      </c>
      <c r="I4" s="83" t="s">
        <v>170</v>
      </c>
      <c r="J4" s="24" t="s">
        <v>148</v>
      </c>
      <c r="K4" s="47"/>
      <c r="L4" s="47"/>
      <c r="M4" s="50"/>
    </row>
    <row r="5" spans="2:13" x14ac:dyDescent="0.3">
      <c r="B5" s="151" t="s">
        <v>463</v>
      </c>
      <c r="C5" s="83" t="s">
        <v>17</v>
      </c>
      <c r="D5" s="35"/>
      <c r="E5" s="83" t="s">
        <v>512</v>
      </c>
      <c r="F5" s="83" t="s">
        <v>16</v>
      </c>
      <c r="G5" s="18"/>
      <c r="H5" s="83" t="s">
        <v>9</v>
      </c>
      <c r="I5" s="83" t="s">
        <v>171</v>
      </c>
      <c r="J5" s="24" t="s">
        <v>149</v>
      </c>
      <c r="K5" s="47"/>
      <c r="L5" s="47"/>
      <c r="M5" s="50"/>
    </row>
    <row r="6" spans="2:13" x14ac:dyDescent="0.3">
      <c r="B6" s="151" t="s">
        <v>456</v>
      </c>
      <c r="C6" s="83" t="s">
        <v>18</v>
      </c>
      <c r="E6" s="83" t="s">
        <v>514</v>
      </c>
      <c r="F6" s="83" t="s">
        <v>16</v>
      </c>
      <c r="G6" s="18"/>
      <c r="H6" s="83" t="s">
        <v>530</v>
      </c>
      <c r="I6" s="83" t="s">
        <v>172</v>
      </c>
      <c r="J6" s="24" t="s">
        <v>189</v>
      </c>
      <c r="K6" s="47"/>
      <c r="L6" s="47"/>
      <c r="M6" s="47"/>
    </row>
    <row r="7" spans="2:13" x14ac:dyDescent="0.3">
      <c r="B7" s="151" t="s">
        <v>453</v>
      </c>
      <c r="C7" s="83" t="s">
        <v>19</v>
      </c>
      <c r="D7" s="35"/>
      <c r="E7" s="83" t="s">
        <v>518</v>
      </c>
      <c r="F7" s="83" t="s">
        <v>177</v>
      </c>
      <c r="G7" s="18"/>
      <c r="H7" s="83" t="s">
        <v>242</v>
      </c>
      <c r="I7" s="83" t="s">
        <v>178</v>
      </c>
      <c r="J7" s="24" t="str">
        <f>IF(H7="Factor5","F5",MID(H7,1,2))</f>
        <v>Cl</v>
      </c>
      <c r="K7" s="47"/>
      <c r="L7" s="47"/>
      <c r="M7" s="47"/>
    </row>
    <row r="8" spans="2:13" x14ac:dyDescent="0.3">
      <c r="B8" s="151" t="s">
        <v>459</v>
      </c>
      <c r="C8" s="83" t="s">
        <v>20</v>
      </c>
      <c r="E8" s="83" t="s">
        <v>521</v>
      </c>
      <c r="F8" s="83" t="s">
        <v>177</v>
      </c>
      <c r="G8" s="18"/>
      <c r="H8" s="83" t="s">
        <v>563</v>
      </c>
      <c r="I8" s="83" t="s">
        <v>179</v>
      </c>
      <c r="J8" s="24" t="str">
        <f>IF(H8="Factor6","F6",MID(H8,1,2))</f>
        <v>Di</v>
      </c>
      <c r="K8" s="47"/>
      <c r="L8" s="47"/>
      <c r="M8" s="47"/>
    </row>
    <row r="9" spans="2:13" x14ac:dyDescent="0.3">
      <c r="B9" s="151" t="s">
        <v>452</v>
      </c>
      <c r="C9" s="83" t="s">
        <v>84</v>
      </c>
      <c r="D9" s="35"/>
      <c r="E9" s="83" t="s">
        <v>524</v>
      </c>
      <c r="F9" s="83" t="s">
        <v>16</v>
      </c>
      <c r="G9" s="18"/>
      <c r="H9" s="83" t="s">
        <v>564</v>
      </c>
      <c r="I9" s="83" t="s">
        <v>439</v>
      </c>
      <c r="J9" s="24" t="str">
        <f>IF(H11="Factor7","F7",MID(H11,1,2))</f>
        <v>Co</v>
      </c>
      <c r="K9" s="47"/>
      <c r="L9" s="47"/>
      <c r="M9" s="47"/>
    </row>
    <row r="10" spans="2:13" x14ac:dyDescent="0.3">
      <c r="B10" s="151" t="s">
        <v>457</v>
      </c>
      <c r="C10" s="83" t="s">
        <v>89</v>
      </c>
      <c r="E10" s="83" t="s">
        <v>525</v>
      </c>
      <c r="F10" s="83" t="s">
        <v>176</v>
      </c>
      <c r="G10" s="18"/>
      <c r="H10" s="83" t="s">
        <v>547</v>
      </c>
      <c r="I10" s="83" t="s">
        <v>448</v>
      </c>
      <c r="J10" s="24" t="str">
        <f>IF(H12="Factor8","F8",MID(H12,1,2))</f>
        <v>Di</v>
      </c>
      <c r="K10" s="47"/>
      <c r="L10" s="47"/>
      <c r="M10" s="47"/>
    </row>
    <row r="11" spans="2:13" x14ac:dyDescent="0.3">
      <c r="B11" s="152" t="s">
        <v>460</v>
      </c>
      <c r="C11" s="83" t="s">
        <v>90</v>
      </c>
      <c r="D11" s="35"/>
      <c r="E11" s="82" t="s">
        <v>526</v>
      </c>
      <c r="F11" s="83" t="s">
        <v>16</v>
      </c>
      <c r="G11" s="18"/>
      <c r="H11" s="83" t="s">
        <v>522</v>
      </c>
      <c r="I11" s="83" t="s">
        <v>523</v>
      </c>
    </row>
    <row r="12" spans="2:13" x14ac:dyDescent="0.3">
      <c r="B12" s="151" t="s">
        <v>455</v>
      </c>
      <c r="C12" s="83" t="s">
        <v>91</v>
      </c>
      <c r="E12" s="83" t="s">
        <v>529</v>
      </c>
      <c r="F12" s="83" t="s">
        <v>18</v>
      </c>
      <c r="G12" s="18"/>
      <c r="H12" s="83" t="s">
        <v>445</v>
      </c>
      <c r="I12" s="83" t="s">
        <v>531</v>
      </c>
    </row>
    <row r="13" spans="2:13" ht="15.75" customHeight="1" x14ac:dyDescent="0.3">
      <c r="B13" s="151" t="s">
        <v>462</v>
      </c>
      <c r="C13" s="83" t="s">
        <v>173</v>
      </c>
      <c r="D13" s="35"/>
      <c r="E13" s="83" t="s">
        <v>532</v>
      </c>
      <c r="F13" s="83" t="s">
        <v>89</v>
      </c>
      <c r="G13" s="18"/>
      <c r="H13" s="83" t="s">
        <v>446</v>
      </c>
      <c r="I13" s="83" t="s">
        <v>540</v>
      </c>
    </row>
    <row r="14" spans="2:13" ht="15" customHeight="1" x14ac:dyDescent="0.3">
      <c r="B14" s="151" t="s">
        <v>461</v>
      </c>
      <c r="C14" s="83" t="s">
        <v>174</v>
      </c>
      <c r="E14" s="83" t="s">
        <v>533</v>
      </c>
      <c r="F14" s="83" t="s">
        <v>177</v>
      </c>
      <c r="G14" s="18"/>
      <c r="H14" s="83" t="s">
        <v>447</v>
      </c>
      <c r="I14" s="83" t="s">
        <v>562</v>
      </c>
    </row>
    <row r="15" spans="2:13" x14ac:dyDescent="0.3">
      <c r="B15" s="151" t="s">
        <v>451</v>
      </c>
      <c r="C15" s="83" t="s">
        <v>175</v>
      </c>
      <c r="D15" s="35"/>
      <c r="E15" s="83" t="s">
        <v>534</v>
      </c>
      <c r="F15" s="83" t="s">
        <v>89</v>
      </c>
      <c r="G15" s="18"/>
    </row>
    <row r="16" spans="2:13" ht="15" customHeight="1" x14ac:dyDescent="0.3">
      <c r="B16" s="151" t="s">
        <v>454</v>
      </c>
      <c r="C16" s="83" t="s">
        <v>176</v>
      </c>
      <c r="E16" s="83" t="s">
        <v>536</v>
      </c>
      <c r="F16" s="83" t="s">
        <v>17</v>
      </c>
      <c r="G16" s="18"/>
      <c r="H16" s="64"/>
    </row>
    <row r="17" spans="2:9" ht="15" customHeight="1" x14ac:dyDescent="0.3">
      <c r="B17" s="151" t="s">
        <v>517</v>
      </c>
      <c r="C17" s="83" t="s">
        <v>177</v>
      </c>
      <c r="D17" s="35"/>
      <c r="E17" s="83" t="s">
        <v>537</v>
      </c>
      <c r="F17" s="83" t="s">
        <v>90</v>
      </c>
      <c r="G17" s="18"/>
      <c r="H17" s="65"/>
      <c r="I17" s="66"/>
    </row>
    <row r="18" spans="2:9" ht="15" customHeight="1" x14ac:dyDescent="0.3">
      <c r="B18" s="151" t="s">
        <v>553</v>
      </c>
      <c r="C18" s="83" t="s">
        <v>552</v>
      </c>
      <c r="E18" s="83" t="s">
        <v>538</v>
      </c>
      <c r="F18" s="83" t="s">
        <v>175</v>
      </c>
      <c r="G18" s="18"/>
      <c r="H18" s="65"/>
      <c r="I18" s="66"/>
    </row>
    <row r="19" spans="2:9" ht="15" customHeight="1" x14ac:dyDescent="0.3">
      <c r="B19" s="151" t="s">
        <v>556</v>
      </c>
      <c r="C19" s="83" t="s">
        <v>555</v>
      </c>
      <c r="E19" s="83" t="s">
        <v>452</v>
      </c>
      <c r="F19" s="83" t="s">
        <v>84</v>
      </c>
      <c r="G19" s="18"/>
      <c r="H19" s="65"/>
      <c r="I19" s="66"/>
    </row>
    <row r="20" spans="2:9" ht="15" customHeight="1" x14ac:dyDescent="0.3">
      <c r="B20" s="151" t="s">
        <v>559</v>
      </c>
      <c r="C20" s="83" t="s">
        <v>558</v>
      </c>
      <c r="E20" s="83" t="s">
        <v>542</v>
      </c>
      <c r="F20" s="83" t="s">
        <v>174</v>
      </c>
      <c r="G20" s="18"/>
      <c r="H20" s="71"/>
      <c r="I20" s="72"/>
    </row>
    <row r="21" spans="2:9" ht="15" customHeight="1" x14ac:dyDescent="0.3">
      <c r="B21" s="151" t="s">
        <v>567</v>
      </c>
      <c r="C21" s="83" t="s">
        <v>566</v>
      </c>
      <c r="D21" s="5"/>
      <c r="E21" s="83" t="s">
        <v>544</v>
      </c>
      <c r="F21" s="83" t="s">
        <v>174</v>
      </c>
      <c r="G21" s="18"/>
      <c r="H21" s="71"/>
      <c r="I21" s="72"/>
    </row>
    <row r="22" spans="2:9" ht="15" customHeight="1" x14ac:dyDescent="0.3">
      <c r="D22" s="1"/>
      <c r="E22" s="83" t="s">
        <v>546</v>
      </c>
      <c r="F22" s="83" t="s">
        <v>20</v>
      </c>
      <c r="G22" s="18"/>
      <c r="H22" s="71"/>
      <c r="I22" s="72"/>
    </row>
    <row r="23" spans="2:9" ht="15" customHeight="1" x14ac:dyDescent="0.3">
      <c r="B23" t="s">
        <v>273</v>
      </c>
      <c r="C23" t="s">
        <v>274</v>
      </c>
      <c r="D23" s="1"/>
      <c r="E23" s="83" t="s">
        <v>549</v>
      </c>
      <c r="F23" s="83" t="s">
        <v>19</v>
      </c>
      <c r="G23" s="18"/>
    </row>
    <row r="24" spans="2:9" ht="15" customHeight="1" x14ac:dyDescent="0.3">
      <c r="B24" s="83" t="s">
        <v>187</v>
      </c>
      <c r="C24" s="83" t="s">
        <v>47</v>
      </c>
      <c r="D24" s="1"/>
      <c r="E24" s="83" t="s">
        <v>550</v>
      </c>
      <c r="F24" s="83" t="s">
        <v>19</v>
      </c>
      <c r="G24" s="18"/>
    </row>
    <row r="25" spans="2:9" ht="15" customHeight="1" x14ac:dyDescent="0.3">
      <c r="B25" s="83" t="s">
        <v>186</v>
      </c>
      <c r="C25" s="83" t="s">
        <v>44</v>
      </c>
      <c r="D25" s="1"/>
      <c r="E25" s="83" t="s">
        <v>551</v>
      </c>
      <c r="F25" s="83" t="s">
        <v>91</v>
      </c>
      <c r="G25" s="18"/>
    </row>
    <row r="26" spans="2:9" ht="15" customHeight="1" x14ac:dyDescent="0.3">
      <c r="B26" s="83" t="s">
        <v>184</v>
      </c>
      <c r="C26" s="83" t="s">
        <v>46</v>
      </c>
      <c r="D26" s="1"/>
      <c r="E26" s="151" t="s">
        <v>553</v>
      </c>
      <c r="F26" s="83" t="s">
        <v>552</v>
      </c>
      <c r="G26" s="18"/>
    </row>
    <row r="27" spans="2:9" ht="15" customHeight="1" x14ac:dyDescent="0.3">
      <c r="B27" s="83" t="s">
        <v>185</v>
      </c>
      <c r="C27" s="83" t="s">
        <v>45</v>
      </c>
      <c r="D27" s="1"/>
      <c r="E27" s="151" t="s">
        <v>554</v>
      </c>
      <c r="F27" s="83" t="s">
        <v>552</v>
      </c>
      <c r="G27" s="18"/>
    </row>
    <row r="28" spans="2:9" ht="15" customHeight="1" x14ac:dyDescent="0.3">
      <c r="E28" s="151" t="s">
        <v>557</v>
      </c>
      <c r="F28" s="83" t="s">
        <v>555</v>
      </c>
      <c r="G28" s="18"/>
    </row>
    <row r="29" spans="2:9" ht="15" customHeight="1" x14ac:dyDescent="0.3">
      <c r="B29" t="s">
        <v>275</v>
      </c>
      <c r="C29" t="s">
        <v>276</v>
      </c>
      <c r="E29" s="83" t="s">
        <v>560</v>
      </c>
      <c r="F29" s="83" t="s">
        <v>558</v>
      </c>
      <c r="G29" s="18"/>
    </row>
    <row r="30" spans="2:9" ht="15" customHeight="1" x14ac:dyDescent="0.3">
      <c r="B30" s="83" t="s">
        <v>2</v>
      </c>
      <c r="C30" s="83" t="s">
        <v>8</v>
      </c>
      <c r="D30" s="36"/>
      <c r="G30" s="18"/>
    </row>
    <row r="31" spans="2:9" ht="15" customHeight="1" x14ac:dyDescent="0.3">
      <c r="B31" s="83" t="s">
        <v>3</v>
      </c>
      <c r="C31" s="83" t="s">
        <v>8</v>
      </c>
      <c r="D31" s="18"/>
      <c r="G31" s="18"/>
    </row>
    <row r="32" spans="2:9" ht="15" customHeight="1" x14ac:dyDescent="0.3">
      <c r="B32" s="83" t="s">
        <v>4</v>
      </c>
      <c r="C32" s="83" t="s">
        <v>93</v>
      </c>
      <c r="D32" s="18"/>
      <c r="G32" s="18"/>
    </row>
    <row r="33" spans="2:7" ht="15" customHeight="1" x14ac:dyDescent="0.3">
      <c r="B33" s="83" t="s">
        <v>5</v>
      </c>
      <c r="C33" s="83" t="s">
        <v>92</v>
      </c>
      <c r="D33" s="18"/>
      <c r="G33" s="18"/>
    </row>
    <row r="34" spans="2:7" ht="15" customHeight="1" x14ac:dyDescent="0.3">
      <c r="D34" s="18"/>
      <c r="G34" s="18"/>
    </row>
    <row r="35" spans="2:7" ht="15" customHeight="1" x14ac:dyDescent="0.3">
      <c r="B35" s="37" t="s">
        <v>277</v>
      </c>
      <c r="D35" s="1"/>
      <c r="G35" s="18"/>
    </row>
    <row r="36" spans="2:7" ht="15" customHeight="1" x14ac:dyDescent="0.3">
      <c r="B36" s="84" t="s">
        <v>215</v>
      </c>
      <c r="D36" s="1"/>
      <c r="G36" s="18"/>
    </row>
    <row r="37" spans="2:7" ht="15" customHeight="1" x14ac:dyDescent="0.3">
      <c r="B37" s="84" t="s">
        <v>216</v>
      </c>
      <c r="G37" s="18"/>
    </row>
    <row r="38" spans="2:7" ht="15" customHeight="1" x14ac:dyDescent="0.3">
      <c r="B38" s="84" t="s">
        <v>35</v>
      </c>
      <c r="G38" s="18"/>
    </row>
    <row r="39" spans="2:7" ht="15" customHeight="1" x14ac:dyDescent="0.3">
      <c r="B39" s="1"/>
      <c r="C39" s="18"/>
      <c r="G39" s="35"/>
    </row>
    <row r="40" spans="2:7" ht="15" customHeight="1" x14ac:dyDescent="0.3">
      <c r="B40" s="1"/>
      <c r="C40" s="1"/>
    </row>
    <row r="41" spans="2:7" ht="15" customHeight="1" x14ac:dyDescent="0.3"/>
    <row r="42" spans="2:7" ht="15" customHeight="1" x14ac:dyDescent="0.3"/>
    <row r="43" spans="2:7" ht="15" customHeight="1" x14ac:dyDescent="0.3"/>
    <row r="44" spans="2:7" ht="15" customHeight="1" x14ac:dyDescent="0.3"/>
    <row r="45" spans="2:7" ht="15" customHeight="1" x14ac:dyDescent="0.3"/>
    <row r="48" spans="2:7" x14ac:dyDescent="0.3">
      <c r="B48" s="24"/>
      <c r="C48" s="24"/>
    </row>
  </sheetData>
  <pageMargins left="0.7" right="0.7" top="0.75" bottom="0.75" header="0.3" footer="0.3"/>
  <pageSetup scale="56" fitToHeight="0" orientation="landscape" r:id="rId1"/>
  <drawing r:id="rId2"/>
  <tableParts count="6">
    <tablePart r:id="rId3"/>
    <tablePart r:id="rId4"/>
    <tablePart r:id="rId5"/>
    <tablePart r:id="rId6"/>
    <tablePart r:id="rId7"/>
    <tablePart r:id="rId8"/>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dimension ref="B1:T40"/>
  <sheetViews>
    <sheetView showGridLines="0" zoomScale="90" zoomScaleNormal="90" workbookViewId="0">
      <selection activeCell="B3" sqref="B3:F3"/>
    </sheetView>
  </sheetViews>
  <sheetFormatPr baseColWidth="10" defaultColWidth="11.5546875" defaultRowHeight="14.4" x14ac:dyDescent="0.3"/>
  <cols>
    <col min="1" max="1" width="3.21875" customWidth="1"/>
    <col min="3" max="3" width="16.5546875" customWidth="1"/>
    <col min="4" max="5" width="20.5546875" customWidth="1"/>
    <col min="6" max="6" width="20.77734375" customWidth="1"/>
    <col min="7" max="7" width="2" customWidth="1"/>
    <col min="9" max="9" width="21.21875" customWidth="1"/>
    <col min="10" max="13" width="27.77734375" customWidth="1"/>
    <col min="14" max="14" width="79.77734375" customWidth="1"/>
    <col min="16" max="16" width="31.21875" customWidth="1"/>
    <col min="17" max="17" width="25.21875" customWidth="1"/>
    <col min="18" max="18" width="27.77734375" customWidth="1"/>
    <col min="19" max="19" width="28.21875" customWidth="1"/>
  </cols>
  <sheetData>
    <row r="1" spans="2:20" ht="40.5" customHeight="1" x14ac:dyDescent="0.3"/>
    <row r="2" spans="2:20" ht="15.6" x14ac:dyDescent="0.3">
      <c r="H2" s="172" t="s">
        <v>389</v>
      </c>
      <c r="I2" s="172"/>
      <c r="J2" s="172"/>
      <c r="K2" s="172"/>
      <c r="L2" s="172"/>
      <c r="M2" s="172"/>
      <c r="T2" s="80"/>
    </row>
    <row r="3" spans="2:20" ht="27.6" x14ac:dyDescent="0.3">
      <c r="B3" s="184" t="s">
        <v>21</v>
      </c>
      <c r="C3" s="185"/>
      <c r="D3" s="185"/>
      <c r="E3" s="185"/>
      <c r="F3" s="186"/>
      <c r="H3" s="174" t="s">
        <v>278</v>
      </c>
      <c r="I3" s="173" t="s">
        <v>244</v>
      </c>
      <c r="J3" s="85" t="s">
        <v>245</v>
      </c>
      <c r="K3" s="85" t="s">
        <v>246</v>
      </c>
      <c r="L3" s="85" t="s">
        <v>247</v>
      </c>
      <c r="M3" s="85" t="s">
        <v>248</v>
      </c>
      <c r="T3" s="80"/>
    </row>
    <row r="4" spans="2:20" ht="26.25" customHeight="1" x14ac:dyDescent="0.3">
      <c r="B4" s="85" t="s">
        <v>278</v>
      </c>
      <c r="C4" s="85" t="s">
        <v>280</v>
      </c>
      <c r="D4" s="181" t="s">
        <v>279</v>
      </c>
      <c r="E4" s="182"/>
      <c r="F4" s="183"/>
      <c r="H4" s="175"/>
      <c r="I4" s="173"/>
      <c r="J4" s="86">
        <v>0.25</v>
      </c>
      <c r="K4" s="86">
        <v>0.25</v>
      </c>
      <c r="L4" s="86">
        <v>0.25</v>
      </c>
      <c r="M4" s="86">
        <v>0.25</v>
      </c>
      <c r="T4" s="80"/>
    </row>
    <row r="5" spans="2:20" ht="63" customHeight="1" x14ac:dyDescent="0.3">
      <c r="B5" s="154">
        <v>1</v>
      </c>
      <c r="C5" s="154" t="s">
        <v>481</v>
      </c>
      <c r="D5" s="167" t="s">
        <v>482</v>
      </c>
      <c r="E5" s="167"/>
      <c r="F5" s="167"/>
      <c r="H5" s="87">
        <v>1</v>
      </c>
      <c r="I5" s="87" t="s">
        <v>480</v>
      </c>
      <c r="J5" s="87" t="s">
        <v>249</v>
      </c>
      <c r="K5" s="87" t="s">
        <v>467</v>
      </c>
      <c r="L5" s="87" t="s">
        <v>468</v>
      </c>
      <c r="M5" s="87" t="s">
        <v>469</v>
      </c>
      <c r="T5" s="80"/>
    </row>
    <row r="6" spans="2:20" ht="67.5" customHeight="1" x14ac:dyDescent="0.3">
      <c r="B6" s="155">
        <v>2</v>
      </c>
      <c r="C6" s="155" t="s">
        <v>483</v>
      </c>
      <c r="D6" s="177" t="s">
        <v>484</v>
      </c>
      <c r="E6" s="178"/>
      <c r="F6" s="179"/>
      <c r="H6" s="87">
        <v>2</v>
      </c>
      <c r="I6" s="87" t="s">
        <v>98</v>
      </c>
      <c r="J6" s="87" t="s">
        <v>250</v>
      </c>
      <c r="K6" s="87" t="s">
        <v>251</v>
      </c>
      <c r="L6" s="87" t="s">
        <v>470</v>
      </c>
      <c r="M6" s="87" t="s">
        <v>471</v>
      </c>
      <c r="T6" s="80"/>
    </row>
    <row r="7" spans="2:20" ht="70.5" customHeight="1" x14ac:dyDescent="0.3">
      <c r="B7" s="156">
        <v>3</v>
      </c>
      <c r="C7" s="156" t="s">
        <v>485</v>
      </c>
      <c r="D7" s="177" t="s">
        <v>492</v>
      </c>
      <c r="E7" s="178"/>
      <c r="F7" s="179"/>
      <c r="H7" s="87">
        <v>3</v>
      </c>
      <c r="I7" s="87" t="s">
        <v>97</v>
      </c>
      <c r="J7" s="87" t="s">
        <v>252</v>
      </c>
      <c r="K7" s="87" t="s">
        <v>253</v>
      </c>
      <c r="L7" s="87" t="s">
        <v>472</v>
      </c>
      <c r="M7" s="87" t="s">
        <v>473</v>
      </c>
      <c r="T7" s="80"/>
    </row>
    <row r="8" spans="2:20" ht="91.5" customHeight="1" x14ac:dyDescent="0.3">
      <c r="B8" s="157">
        <v>4</v>
      </c>
      <c r="C8" s="157" t="s">
        <v>486</v>
      </c>
      <c r="D8" s="177" t="s">
        <v>487</v>
      </c>
      <c r="E8" s="178"/>
      <c r="F8" s="179"/>
      <c r="H8" s="87">
        <v>4</v>
      </c>
      <c r="I8" s="87" t="s">
        <v>254</v>
      </c>
      <c r="J8" s="87" t="s">
        <v>449</v>
      </c>
      <c r="K8" s="87" t="s">
        <v>474</v>
      </c>
      <c r="L8" s="87" t="s">
        <v>475</v>
      </c>
      <c r="M8" s="87" t="s">
        <v>476</v>
      </c>
      <c r="T8" s="80"/>
    </row>
    <row r="9" spans="2:20" ht="75" customHeight="1" x14ac:dyDescent="0.3">
      <c r="B9" s="158">
        <v>5</v>
      </c>
      <c r="C9" s="158" t="s">
        <v>488</v>
      </c>
      <c r="D9" s="177" t="s">
        <v>489</v>
      </c>
      <c r="E9" s="178"/>
      <c r="F9" s="179"/>
      <c r="H9" s="87">
        <v>5</v>
      </c>
      <c r="I9" s="87" t="s">
        <v>99</v>
      </c>
      <c r="J9" s="87" t="s">
        <v>477</v>
      </c>
      <c r="K9" s="87" t="s">
        <v>466</v>
      </c>
      <c r="L9" s="87" t="s">
        <v>478</v>
      </c>
      <c r="M9" s="87" t="s">
        <v>479</v>
      </c>
      <c r="T9" s="80"/>
    </row>
    <row r="10" spans="2:20" ht="12" customHeight="1" x14ac:dyDescent="0.3">
      <c r="B10" s="88"/>
      <c r="C10" s="89"/>
      <c r="D10" s="180"/>
      <c r="E10" s="180"/>
      <c r="F10" s="180"/>
      <c r="H10" s="35"/>
      <c r="I10" s="35"/>
      <c r="J10" s="80"/>
      <c r="K10" s="80"/>
      <c r="L10" s="80"/>
      <c r="T10" s="80"/>
    </row>
    <row r="11" spans="2:20" ht="12" customHeight="1" x14ac:dyDescent="0.3">
      <c r="H11" s="35"/>
      <c r="I11" s="35"/>
      <c r="J11" s="80"/>
      <c r="K11" s="80"/>
      <c r="L11" s="80"/>
      <c r="T11" s="80"/>
    </row>
    <row r="12" spans="2:20" ht="12" customHeight="1" x14ac:dyDescent="0.3"/>
    <row r="13" spans="2:20" ht="9.75" hidden="1" customHeight="1" x14ac:dyDescent="0.3"/>
    <row r="14" spans="2:20" ht="37.5" customHeight="1" x14ac:dyDescent="0.3">
      <c r="B14" s="67" t="s">
        <v>88</v>
      </c>
      <c r="C14" s="67" t="s">
        <v>1</v>
      </c>
      <c r="D14" s="169" t="s">
        <v>6</v>
      </c>
      <c r="E14" s="169"/>
      <c r="F14" s="169"/>
      <c r="I14" s="18" t="s">
        <v>211</v>
      </c>
      <c r="J14" s="18" t="s">
        <v>47</v>
      </c>
      <c r="K14" s="18" t="s">
        <v>44</v>
      </c>
      <c r="L14" s="18" t="s">
        <v>46</v>
      </c>
      <c r="M14" s="18" t="s">
        <v>45</v>
      </c>
      <c r="N14" s="18" t="s">
        <v>23</v>
      </c>
    </row>
    <row r="15" spans="2:20" ht="49.5" customHeight="1" x14ac:dyDescent="0.3">
      <c r="B15" s="170" t="s">
        <v>2</v>
      </c>
      <c r="C15" s="73">
        <v>1</v>
      </c>
      <c r="D15" s="167" t="s">
        <v>8</v>
      </c>
      <c r="E15" s="168" t="s">
        <v>493</v>
      </c>
      <c r="F15" s="168"/>
      <c r="I15" s="18" t="s">
        <v>201</v>
      </c>
      <c r="J15" s="18" t="s">
        <v>200</v>
      </c>
      <c r="K15" s="18" t="s">
        <v>200</v>
      </c>
      <c r="L15" s="18" t="s">
        <v>200</v>
      </c>
      <c r="M15" s="18" t="s">
        <v>200</v>
      </c>
      <c r="N15" s="52" t="s">
        <v>496</v>
      </c>
    </row>
    <row r="16" spans="2:20" ht="47.25" customHeight="1" x14ac:dyDescent="0.3">
      <c r="B16" s="170"/>
      <c r="C16" s="73">
        <v>2</v>
      </c>
      <c r="D16" s="167"/>
      <c r="E16" s="168"/>
      <c r="F16" s="168"/>
      <c r="I16" s="18" t="s">
        <v>202</v>
      </c>
      <c r="J16" s="18" t="s">
        <v>200</v>
      </c>
      <c r="K16" s="18" t="s">
        <v>200</v>
      </c>
      <c r="L16" s="18"/>
      <c r="M16" s="18" t="s">
        <v>200</v>
      </c>
      <c r="N16" s="52" t="s">
        <v>497</v>
      </c>
    </row>
    <row r="17" spans="2:14" ht="54" customHeight="1" x14ac:dyDescent="0.3">
      <c r="B17" s="170"/>
      <c r="C17" s="73">
        <v>3</v>
      </c>
      <c r="D17" s="167"/>
      <c r="E17" s="168"/>
      <c r="F17" s="168"/>
      <c r="I17" s="18" t="s">
        <v>203</v>
      </c>
      <c r="J17" s="18" t="s">
        <v>200</v>
      </c>
      <c r="K17" s="18"/>
      <c r="L17" s="18" t="s">
        <v>200</v>
      </c>
      <c r="M17" s="18" t="s">
        <v>200</v>
      </c>
      <c r="N17" s="52" t="s">
        <v>498</v>
      </c>
    </row>
    <row r="18" spans="2:14" ht="41.25" customHeight="1" x14ac:dyDescent="0.3">
      <c r="B18" s="170"/>
      <c r="C18" s="73">
        <v>4</v>
      </c>
      <c r="D18" s="167"/>
      <c r="E18" s="168"/>
      <c r="F18" s="168"/>
      <c r="I18" s="18" t="s">
        <v>202</v>
      </c>
      <c r="J18" s="18" t="s">
        <v>200</v>
      </c>
      <c r="K18" s="18" t="s">
        <v>200</v>
      </c>
      <c r="L18" s="18"/>
      <c r="M18" s="18" t="s">
        <v>200</v>
      </c>
      <c r="N18" s="52" t="s">
        <v>497</v>
      </c>
    </row>
    <row r="19" spans="2:14" ht="41.25" customHeight="1" x14ac:dyDescent="0.3">
      <c r="B19" s="170"/>
      <c r="C19" s="73">
        <v>5</v>
      </c>
      <c r="D19" s="167"/>
      <c r="E19" s="168"/>
      <c r="F19" s="168"/>
      <c r="I19" s="18" t="s">
        <v>204</v>
      </c>
      <c r="J19" s="18" t="s">
        <v>200</v>
      </c>
      <c r="K19" s="18" t="s">
        <v>200</v>
      </c>
      <c r="L19" s="18" t="s">
        <v>200</v>
      </c>
      <c r="M19" s="18"/>
      <c r="N19" s="52" t="s">
        <v>499</v>
      </c>
    </row>
    <row r="20" spans="2:14" ht="42" customHeight="1" x14ac:dyDescent="0.3">
      <c r="B20" s="170"/>
      <c r="C20" s="73">
        <v>6</v>
      </c>
      <c r="D20" s="167"/>
      <c r="E20" s="168"/>
      <c r="F20" s="168"/>
      <c r="I20" s="18" t="s">
        <v>205</v>
      </c>
      <c r="J20" s="18"/>
      <c r="K20" s="18" t="s">
        <v>200</v>
      </c>
      <c r="L20" s="18" t="s">
        <v>200</v>
      </c>
      <c r="M20" s="18" t="s">
        <v>200</v>
      </c>
      <c r="N20" s="52" t="s">
        <v>495</v>
      </c>
    </row>
    <row r="21" spans="2:14" ht="41.25" customHeight="1" x14ac:dyDescent="0.3">
      <c r="B21" s="170"/>
      <c r="C21" s="73">
        <v>7</v>
      </c>
      <c r="D21" s="167"/>
      <c r="E21" s="168"/>
      <c r="F21" s="168"/>
      <c r="I21" s="18" t="s">
        <v>206</v>
      </c>
      <c r="J21" s="18"/>
      <c r="K21" s="18" t="s">
        <v>200</v>
      </c>
      <c r="L21" s="18"/>
      <c r="M21" s="18" t="s">
        <v>200</v>
      </c>
      <c r="N21" s="52" t="s">
        <v>500</v>
      </c>
    </row>
    <row r="22" spans="2:14" ht="31.5" customHeight="1" x14ac:dyDescent="0.3">
      <c r="B22" s="171" t="s">
        <v>3</v>
      </c>
      <c r="C22" s="73">
        <v>8</v>
      </c>
      <c r="D22" s="167" t="s">
        <v>8</v>
      </c>
      <c r="E22" s="168" t="s">
        <v>494</v>
      </c>
      <c r="F22" s="168"/>
      <c r="I22" s="18" t="s">
        <v>207</v>
      </c>
      <c r="J22" s="18"/>
      <c r="K22" s="18"/>
      <c r="L22" s="18"/>
      <c r="M22" s="18" t="s">
        <v>200</v>
      </c>
      <c r="N22" s="52" t="s">
        <v>501</v>
      </c>
    </row>
    <row r="23" spans="2:14" ht="31.5" customHeight="1" x14ac:dyDescent="0.3">
      <c r="B23" s="171"/>
      <c r="C23" s="73">
        <v>9</v>
      </c>
      <c r="D23" s="167"/>
      <c r="E23" s="168"/>
      <c r="F23" s="168"/>
      <c r="I23" s="95" t="s">
        <v>387</v>
      </c>
      <c r="J23" s="18"/>
      <c r="K23" s="18"/>
      <c r="L23" s="18" t="s">
        <v>200</v>
      </c>
      <c r="M23" s="18" t="s">
        <v>200</v>
      </c>
      <c r="N23" s="52" t="s">
        <v>502</v>
      </c>
    </row>
    <row r="24" spans="2:14" ht="31.5" customHeight="1" x14ac:dyDescent="0.3">
      <c r="B24" s="171"/>
      <c r="C24" s="73">
        <v>10</v>
      </c>
      <c r="D24" s="167"/>
      <c r="E24" s="168"/>
      <c r="F24" s="168"/>
      <c r="I24" s="18" t="s">
        <v>208</v>
      </c>
      <c r="J24" s="18"/>
      <c r="K24" s="18"/>
      <c r="L24" s="18"/>
      <c r="M24" s="18"/>
      <c r="N24" s="52" t="s">
        <v>209</v>
      </c>
    </row>
    <row r="25" spans="2:14" ht="31.5" customHeight="1" x14ac:dyDescent="0.3">
      <c r="B25" s="171"/>
      <c r="C25" s="73">
        <v>11</v>
      </c>
      <c r="D25" s="167"/>
      <c r="E25" s="168"/>
      <c r="F25" s="168"/>
      <c r="I25" s="18" t="s">
        <v>210</v>
      </c>
      <c r="J25" s="18"/>
      <c r="K25" s="18" t="s">
        <v>200</v>
      </c>
      <c r="L25" s="18" t="s">
        <v>200</v>
      </c>
      <c r="M25" s="18"/>
      <c r="N25" s="52" t="s">
        <v>502</v>
      </c>
    </row>
    <row r="26" spans="2:14" ht="31.5" customHeight="1" x14ac:dyDescent="0.3">
      <c r="B26" s="171"/>
      <c r="C26" s="73">
        <v>12</v>
      </c>
      <c r="D26" s="167"/>
      <c r="E26" s="168"/>
      <c r="F26" s="168"/>
    </row>
    <row r="27" spans="2:14" ht="31.5" customHeight="1" x14ac:dyDescent="0.3">
      <c r="B27" s="171"/>
      <c r="C27" s="73">
        <v>13</v>
      </c>
      <c r="D27" s="167"/>
      <c r="E27" s="168"/>
      <c r="F27" s="168"/>
    </row>
    <row r="28" spans="2:14" ht="31.5" customHeight="1" x14ac:dyDescent="0.3">
      <c r="B28" s="176" t="s">
        <v>4</v>
      </c>
      <c r="C28" s="73">
        <v>14</v>
      </c>
      <c r="D28" s="167" t="s">
        <v>93</v>
      </c>
      <c r="E28" s="168" t="s">
        <v>490</v>
      </c>
      <c r="F28" s="168"/>
    </row>
    <row r="29" spans="2:14" ht="31.5" customHeight="1" x14ac:dyDescent="0.3">
      <c r="B29" s="176"/>
      <c r="C29" s="73">
        <v>15</v>
      </c>
      <c r="D29" s="167"/>
      <c r="E29" s="168"/>
      <c r="F29" s="168"/>
    </row>
    <row r="30" spans="2:14" ht="31.5" customHeight="1" x14ac:dyDescent="0.3">
      <c r="B30" s="176"/>
      <c r="C30" s="73">
        <v>16</v>
      </c>
      <c r="D30" s="167"/>
      <c r="E30" s="168"/>
      <c r="F30" s="168"/>
    </row>
    <row r="31" spans="2:14" ht="31.5" customHeight="1" x14ac:dyDescent="0.3">
      <c r="B31" s="176"/>
      <c r="C31" s="73">
        <v>17</v>
      </c>
      <c r="D31" s="167"/>
      <c r="E31" s="168"/>
      <c r="F31" s="168"/>
    </row>
    <row r="32" spans="2:14" ht="31.5" customHeight="1" x14ac:dyDescent="0.3">
      <c r="B32" s="176"/>
      <c r="C32" s="73">
        <v>18</v>
      </c>
      <c r="D32" s="167"/>
      <c r="E32" s="168"/>
      <c r="F32" s="168"/>
    </row>
    <row r="33" spans="2:6" ht="31.5" customHeight="1" x14ac:dyDescent="0.3">
      <c r="B33" s="176"/>
      <c r="C33" s="73">
        <v>19</v>
      </c>
      <c r="D33" s="167"/>
      <c r="E33" s="168"/>
      <c r="F33" s="168"/>
    </row>
    <row r="34" spans="2:6" ht="31.5" customHeight="1" x14ac:dyDescent="0.3">
      <c r="B34" s="166" t="s">
        <v>5</v>
      </c>
      <c r="C34" s="73">
        <v>20</v>
      </c>
      <c r="D34" s="167" t="s">
        <v>92</v>
      </c>
      <c r="E34" s="168" t="s">
        <v>491</v>
      </c>
      <c r="F34" s="168"/>
    </row>
    <row r="35" spans="2:6" ht="31.5" customHeight="1" x14ac:dyDescent="0.3">
      <c r="B35" s="166"/>
      <c r="C35" s="73">
        <v>21</v>
      </c>
      <c r="D35" s="167"/>
      <c r="E35" s="168"/>
      <c r="F35" s="168"/>
    </row>
    <row r="36" spans="2:6" ht="31.5" customHeight="1" x14ac:dyDescent="0.3">
      <c r="B36" s="166"/>
      <c r="C36" s="73">
        <v>22</v>
      </c>
      <c r="D36" s="167"/>
      <c r="E36" s="168"/>
      <c r="F36" s="168"/>
    </row>
    <row r="37" spans="2:6" ht="31.5" customHeight="1" x14ac:dyDescent="0.3">
      <c r="B37" s="166"/>
      <c r="C37" s="73">
        <v>23</v>
      </c>
      <c r="D37" s="167"/>
      <c r="E37" s="168"/>
      <c r="F37" s="168"/>
    </row>
    <row r="38" spans="2:6" ht="31.5" customHeight="1" x14ac:dyDescent="0.3">
      <c r="B38" s="166"/>
      <c r="C38" s="73">
        <v>24</v>
      </c>
      <c r="D38" s="167"/>
      <c r="E38" s="168"/>
      <c r="F38" s="168"/>
    </row>
    <row r="39" spans="2:6" ht="31.5" customHeight="1" x14ac:dyDescent="0.3">
      <c r="B39" s="166"/>
      <c r="C39" s="73">
        <v>25</v>
      </c>
      <c r="D39" s="167"/>
      <c r="E39" s="168"/>
      <c r="F39" s="168"/>
    </row>
    <row r="40" spans="2:6" ht="31.5" customHeight="1" x14ac:dyDescent="0.3"/>
  </sheetData>
  <mergeCells count="24">
    <mergeCell ref="H2:M2"/>
    <mergeCell ref="I3:I4"/>
    <mergeCell ref="H3:H4"/>
    <mergeCell ref="B28:B33"/>
    <mergeCell ref="D28:D33"/>
    <mergeCell ref="E28:F33"/>
    <mergeCell ref="D9:F9"/>
    <mergeCell ref="D8:F8"/>
    <mergeCell ref="D10:F10"/>
    <mergeCell ref="D4:F4"/>
    <mergeCell ref="B3:F3"/>
    <mergeCell ref="D5:F5"/>
    <mergeCell ref="D6:F6"/>
    <mergeCell ref="D7:F7"/>
    <mergeCell ref="B34:B39"/>
    <mergeCell ref="D34:D39"/>
    <mergeCell ref="E34:F39"/>
    <mergeCell ref="D14:F14"/>
    <mergeCell ref="B15:B21"/>
    <mergeCell ref="D15:D21"/>
    <mergeCell ref="E15:F21"/>
    <mergeCell ref="B22:B27"/>
    <mergeCell ref="D22:D27"/>
    <mergeCell ref="E22:F27"/>
  </mergeCells>
  <dataValidations count="1">
    <dataValidation type="list" allowBlank="1" showInputMessage="1" showErrorMessage="1" sqref="J15:M23">
      <formula1>"X"</formula1>
    </dataValidation>
  </dataValidations>
  <pageMargins left="0.7" right="0.7" top="0.75" bottom="0.75" header="0.3" footer="0.3"/>
  <pageSetup orientation="portrait" horizontalDpi="4294967293" verticalDpi="0" r:id="rId1"/>
  <drawing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
  <sheetViews>
    <sheetView workbookViewId="0">
      <selection activeCell="J15" sqref="J15"/>
    </sheetView>
  </sheetViews>
  <sheetFormatPr baseColWidth="10" defaultColWidth="11.44140625" defaultRowHeight="14.4" x14ac:dyDescent="0.3"/>
  <cols>
    <col min="1" max="1" width="26.77734375" customWidth="1"/>
    <col min="2" max="2" width="13.44140625" customWidth="1"/>
    <col min="3" max="3" width="12.5546875" customWidth="1"/>
    <col min="4" max="4" width="16" customWidth="1"/>
    <col min="5" max="5" width="17.21875" customWidth="1"/>
    <col min="6" max="6" width="16.77734375" customWidth="1"/>
    <col min="7" max="7" width="15.21875" customWidth="1"/>
    <col min="8" max="8" width="17.77734375" customWidth="1"/>
  </cols>
  <sheetData>
    <row r="1" spans="1:8" x14ac:dyDescent="0.3">
      <c r="A1" t="s">
        <v>465</v>
      </c>
      <c r="B1" t="s">
        <v>224</v>
      </c>
      <c r="C1" t="s">
        <v>393</v>
      </c>
      <c r="D1" t="s">
        <v>424</v>
      </c>
      <c r="E1" t="s">
        <v>394</v>
      </c>
      <c r="F1" t="s">
        <v>272</v>
      </c>
      <c r="G1" t="s">
        <v>274</v>
      </c>
      <c r="H1" t="s">
        <v>391</v>
      </c>
    </row>
    <row r="2" spans="1:8" x14ac:dyDescent="0.3">
      <c r="A2" t="s">
        <v>52</v>
      </c>
      <c r="B2" t="s">
        <v>52</v>
      </c>
      <c r="C2">
        <v>32</v>
      </c>
      <c r="D2" t="s">
        <v>440</v>
      </c>
      <c r="E2" t="s">
        <v>438</v>
      </c>
      <c r="F2" t="s">
        <v>89</v>
      </c>
      <c r="G2" t="s">
        <v>439</v>
      </c>
      <c r="H2" t="s">
        <v>431</v>
      </c>
    </row>
    <row r="3" spans="1:8" x14ac:dyDescent="0.3">
      <c r="A3" t="s">
        <v>428</v>
      </c>
      <c r="B3" t="s">
        <v>428</v>
      </c>
      <c r="C3">
        <v>1</v>
      </c>
      <c r="D3" t="s">
        <v>440</v>
      </c>
      <c r="E3" t="s">
        <v>242</v>
      </c>
      <c r="F3" t="s">
        <v>15</v>
      </c>
      <c r="G3" t="s">
        <v>169</v>
      </c>
      <c r="H3" t="s">
        <v>433</v>
      </c>
    </row>
    <row r="4" spans="1:8" x14ac:dyDescent="0.3">
      <c r="A4" t="s">
        <v>428</v>
      </c>
      <c r="B4" t="s">
        <v>428</v>
      </c>
      <c r="C4">
        <v>2</v>
      </c>
      <c r="D4" t="s">
        <v>440</v>
      </c>
      <c r="E4" t="s">
        <v>240</v>
      </c>
      <c r="F4" t="s">
        <v>15</v>
      </c>
      <c r="G4" t="s">
        <v>170</v>
      </c>
      <c r="H4" t="s">
        <v>406</v>
      </c>
    </row>
    <row r="5" spans="1:8" x14ac:dyDescent="0.3">
      <c r="A5" t="s">
        <v>428</v>
      </c>
      <c r="B5" t="s">
        <v>428</v>
      </c>
      <c r="C5">
        <v>3</v>
      </c>
      <c r="D5" t="s">
        <v>440</v>
      </c>
      <c r="E5" t="s">
        <v>430</v>
      </c>
      <c r="F5" t="s">
        <v>15</v>
      </c>
      <c r="G5" t="s">
        <v>171</v>
      </c>
      <c r="H5" t="s">
        <v>434</v>
      </c>
    </row>
    <row r="6" spans="1:8" x14ac:dyDescent="0.3">
      <c r="A6" t="s">
        <v>428</v>
      </c>
      <c r="B6" t="s">
        <v>428</v>
      </c>
      <c r="C6">
        <v>4</v>
      </c>
      <c r="D6" t="s">
        <v>440</v>
      </c>
      <c r="E6" t="s">
        <v>241</v>
      </c>
      <c r="F6" t="s">
        <v>15</v>
      </c>
      <c r="G6" t="s">
        <v>172</v>
      </c>
      <c r="H6" t="s">
        <v>407</v>
      </c>
    </row>
  </sheetData>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
  <sheetViews>
    <sheetView workbookViewId="0">
      <selection activeCell="F16" sqref="F16"/>
    </sheetView>
  </sheetViews>
  <sheetFormatPr baseColWidth="10" defaultColWidth="11.44140625" defaultRowHeight="14.4" x14ac:dyDescent="0.3"/>
  <cols>
    <col min="1" max="1" width="26.77734375" customWidth="1"/>
    <col min="2" max="2" width="13.44140625" customWidth="1"/>
    <col min="3" max="3" width="12.5546875" customWidth="1"/>
    <col min="4" max="4" width="16" customWidth="1"/>
    <col min="5" max="5" width="17.21875" customWidth="1"/>
    <col min="6" max="6" width="16.77734375" customWidth="1"/>
    <col min="7" max="7" width="15.21875" customWidth="1"/>
    <col min="8" max="8" width="17.77734375" customWidth="1"/>
  </cols>
  <sheetData>
    <row r="1" spans="1:8" x14ac:dyDescent="0.3">
      <c r="A1" t="s">
        <v>465</v>
      </c>
      <c r="B1" t="s">
        <v>224</v>
      </c>
      <c r="C1" t="s">
        <v>393</v>
      </c>
      <c r="D1" t="s">
        <v>424</v>
      </c>
      <c r="E1" t="s">
        <v>394</v>
      </c>
      <c r="F1" t="s">
        <v>272</v>
      </c>
      <c r="G1" t="s">
        <v>274</v>
      </c>
      <c r="H1" t="s">
        <v>391</v>
      </c>
    </row>
    <row r="2" spans="1:8" x14ac:dyDescent="0.3">
      <c r="A2" t="s">
        <v>52</v>
      </c>
      <c r="B2" t="s">
        <v>52</v>
      </c>
      <c r="C2">
        <v>33</v>
      </c>
      <c r="D2" t="s">
        <v>441</v>
      </c>
      <c r="E2" t="s">
        <v>243</v>
      </c>
      <c r="F2" t="s">
        <v>89</v>
      </c>
      <c r="G2" t="s">
        <v>178</v>
      </c>
      <c r="H2" t="s">
        <v>432</v>
      </c>
    </row>
    <row r="3" spans="1:8" x14ac:dyDescent="0.3">
      <c r="A3" t="s">
        <v>428</v>
      </c>
      <c r="B3" t="s">
        <v>428</v>
      </c>
      <c r="C3">
        <v>5</v>
      </c>
      <c r="D3" t="s">
        <v>441</v>
      </c>
      <c r="E3" t="s">
        <v>9</v>
      </c>
      <c r="F3" t="s">
        <v>15</v>
      </c>
      <c r="G3" t="s">
        <v>179</v>
      </c>
      <c r="H3" t="s">
        <v>315</v>
      </c>
    </row>
  </sheetData>
  <pageMargins left="0.7" right="0.7" top="0.75" bottom="0.75" header="0.3" footer="0.3"/>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
  <sheetViews>
    <sheetView workbookViewId="0">
      <selection activeCell="D14" sqref="D14"/>
    </sheetView>
  </sheetViews>
  <sheetFormatPr baseColWidth="10" defaultColWidth="11.44140625" defaultRowHeight="14.4" x14ac:dyDescent="0.3"/>
  <cols>
    <col min="1" max="1" width="26.77734375" customWidth="1"/>
    <col min="2" max="2" width="13.44140625" customWidth="1"/>
    <col min="3" max="3" width="12.5546875" customWidth="1"/>
    <col min="4" max="4" width="16" customWidth="1"/>
    <col min="5" max="5" width="17.21875" customWidth="1"/>
    <col min="6" max="6" width="16.77734375" customWidth="1"/>
    <col min="7" max="7" width="15.21875" customWidth="1"/>
    <col min="8" max="8" width="17.77734375" customWidth="1"/>
  </cols>
  <sheetData>
    <row r="1" spans="1:8" x14ac:dyDescent="0.3">
      <c r="A1" t="s">
        <v>465</v>
      </c>
      <c r="B1" t="s">
        <v>224</v>
      </c>
      <c r="C1" t="s">
        <v>393</v>
      </c>
      <c r="D1" t="s">
        <v>424</v>
      </c>
      <c r="E1" t="s">
        <v>394</v>
      </c>
      <c r="F1" t="s">
        <v>272</v>
      </c>
      <c r="G1" t="s">
        <v>274</v>
      </c>
      <c r="H1" t="s">
        <v>391</v>
      </c>
    </row>
    <row r="2" spans="1:8" x14ac:dyDescent="0.3">
      <c r="A2" t="s">
        <v>52</v>
      </c>
      <c r="B2" t="s">
        <v>52</v>
      </c>
      <c r="C2">
        <v>32</v>
      </c>
      <c r="D2" t="s">
        <v>440</v>
      </c>
      <c r="E2" t="s">
        <v>438</v>
      </c>
      <c r="F2" t="s">
        <v>89</v>
      </c>
      <c r="G2" t="s">
        <v>439</v>
      </c>
      <c r="H2" t="s">
        <v>431</v>
      </c>
    </row>
    <row r="3" spans="1:8" x14ac:dyDescent="0.3">
      <c r="A3" t="s">
        <v>428</v>
      </c>
      <c r="B3" t="s">
        <v>428</v>
      </c>
      <c r="C3">
        <v>1</v>
      </c>
      <c r="D3" t="s">
        <v>440</v>
      </c>
      <c r="E3" t="s">
        <v>242</v>
      </c>
      <c r="F3" t="s">
        <v>15</v>
      </c>
      <c r="G3" t="s">
        <v>169</v>
      </c>
      <c r="H3" t="s">
        <v>433</v>
      </c>
    </row>
    <row r="4" spans="1:8" x14ac:dyDescent="0.3">
      <c r="A4" t="s">
        <v>428</v>
      </c>
      <c r="B4" t="s">
        <v>428</v>
      </c>
      <c r="C4">
        <v>2</v>
      </c>
      <c r="D4" t="s">
        <v>440</v>
      </c>
      <c r="E4" t="s">
        <v>240</v>
      </c>
      <c r="F4" t="s">
        <v>15</v>
      </c>
      <c r="G4" t="s">
        <v>170</v>
      </c>
      <c r="H4" t="s">
        <v>406</v>
      </c>
    </row>
    <row r="5" spans="1:8" x14ac:dyDescent="0.3">
      <c r="A5" t="s">
        <v>428</v>
      </c>
      <c r="B5" t="s">
        <v>428</v>
      </c>
      <c r="C5">
        <v>3</v>
      </c>
      <c r="D5" t="s">
        <v>440</v>
      </c>
      <c r="E5" t="s">
        <v>430</v>
      </c>
      <c r="F5" t="s">
        <v>15</v>
      </c>
      <c r="G5" t="s">
        <v>171</v>
      </c>
      <c r="H5" t="s">
        <v>434</v>
      </c>
    </row>
    <row r="6" spans="1:8" x14ac:dyDescent="0.3">
      <c r="A6" t="s">
        <v>428</v>
      </c>
      <c r="B6" t="s">
        <v>428</v>
      </c>
      <c r="C6">
        <v>4</v>
      </c>
      <c r="D6" t="s">
        <v>440</v>
      </c>
      <c r="E6" t="s">
        <v>241</v>
      </c>
      <c r="F6" t="s">
        <v>15</v>
      </c>
      <c r="G6" t="s">
        <v>172</v>
      </c>
      <c r="H6" t="s">
        <v>407</v>
      </c>
    </row>
  </sheetData>
  <pageMargins left="0.7" right="0.7" top="0.75" bottom="0.75" header="0.3" footer="0.3"/>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
  <sheetViews>
    <sheetView workbookViewId="0">
      <selection sqref="A1:H3"/>
    </sheetView>
  </sheetViews>
  <sheetFormatPr baseColWidth="10" defaultColWidth="11.44140625" defaultRowHeight="14.4" x14ac:dyDescent="0.3"/>
  <cols>
    <col min="1" max="1" width="26.77734375" customWidth="1"/>
    <col min="2" max="2" width="13.44140625" customWidth="1"/>
    <col min="3" max="3" width="12.5546875" customWidth="1"/>
    <col min="4" max="4" width="16" customWidth="1"/>
    <col min="5" max="5" width="17.21875" customWidth="1"/>
    <col min="6" max="6" width="16.77734375" customWidth="1"/>
    <col min="7" max="7" width="15.21875" customWidth="1"/>
    <col min="8" max="8" width="17.77734375" customWidth="1"/>
  </cols>
  <sheetData>
    <row r="1" spans="1:8" x14ac:dyDescent="0.3">
      <c r="A1" t="s">
        <v>465</v>
      </c>
      <c r="B1" t="s">
        <v>224</v>
      </c>
      <c r="C1" t="s">
        <v>393</v>
      </c>
      <c r="D1" t="s">
        <v>424</v>
      </c>
      <c r="E1" t="s">
        <v>394</v>
      </c>
      <c r="F1" t="s">
        <v>272</v>
      </c>
      <c r="G1" t="s">
        <v>274</v>
      </c>
      <c r="H1" t="s">
        <v>391</v>
      </c>
    </row>
    <row r="2" spans="1:8" x14ac:dyDescent="0.3">
      <c r="A2" t="s">
        <v>52</v>
      </c>
      <c r="B2" t="s">
        <v>52</v>
      </c>
      <c r="C2">
        <v>28</v>
      </c>
      <c r="D2" t="s">
        <v>442</v>
      </c>
      <c r="E2" t="s">
        <v>241</v>
      </c>
      <c r="F2" t="s">
        <v>89</v>
      </c>
      <c r="G2" t="s">
        <v>172</v>
      </c>
      <c r="H2" t="s">
        <v>436</v>
      </c>
    </row>
    <row r="3" spans="1:8" x14ac:dyDescent="0.3">
      <c r="A3" t="s">
        <v>428</v>
      </c>
      <c r="B3" t="s">
        <v>428</v>
      </c>
      <c r="C3">
        <v>7</v>
      </c>
      <c r="D3" t="s">
        <v>442</v>
      </c>
      <c r="E3" t="s">
        <v>243</v>
      </c>
      <c r="F3" t="s">
        <v>15</v>
      </c>
      <c r="G3" t="s">
        <v>178</v>
      </c>
      <c r="H3" t="s">
        <v>432</v>
      </c>
    </row>
  </sheetData>
  <pageMargins left="0.7" right="0.7" top="0.75" bottom="0.75" header="0.3" footer="0.3"/>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
  <sheetViews>
    <sheetView workbookViewId="0">
      <selection sqref="A1:H2"/>
    </sheetView>
  </sheetViews>
  <sheetFormatPr baseColWidth="10" defaultColWidth="11.44140625" defaultRowHeight="14.4" x14ac:dyDescent="0.3"/>
  <cols>
    <col min="1" max="1" width="26.77734375" customWidth="1"/>
    <col min="2" max="2" width="13.44140625" customWidth="1"/>
    <col min="3" max="3" width="12.5546875" customWidth="1"/>
    <col min="4" max="4" width="16" customWidth="1"/>
    <col min="5" max="5" width="17.21875" customWidth="1"/>
    <col min="6" max="6" width="16.77734375" customWidth="1"/>
    <col min="7" max="7" width="15.21875" customWidth="1"/>
    <col min="8" max="8" width="17.77734375" customWidth="1"/>
  </cols>
  <sheetData>
    <row r="1" spans="1:8" x14ac:dyDescent="0.3">
      <c r="A1" t="s">
        <v>465</v>
      </c>
      <c r="B1" t="s">
        <v>224</v>
      </c>
      <c r="C1" t="s">
        <v>393</v>
      </c>
      <c r="D1" t="s">
        <v>424</v>
      </c>
      <c r="E1" t="s">
        <v>394</v>
      </c>
      <c r="F1" t="s">
        <v>272</v>
      </c>
      <c r="G1" t="s">
        <v>274</v>
      </c>
      <c r="H1" t="s">
        <v>391</v>
      </c>
    </row>
    <row r="2" spans="1:8" x14ac:dyDescent="0.3">
      <c r="A2" t="s">
        <v>52</v>
      </c>
      <c r="B2" t="s">
        <v>52</v>
      </c>
      <c r="C2">
        <v>31</v>
      </c>
      <c r="D2" t="s">
        <v>443</v>
      </c>
      <c r="E2" t="s">
        <v>240</v>
      </c>
      <c r="F2" t="s">
        <v>89</v>
      </c>
      <c r="G2" t="s">
        <v>170</v>
      </c>
      <c r="H2" t="s">
        <v>437</v>
      </c>
    </row>
  </sheetData>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14</vt:i4>
      </vt:variant>
    </vt:vector>
  </HeadingPairs>
  <TitlesOfParts>
    <vt:vector size="30" baseType="lpstr">
      <vt:lpstr>SAGRILAFT</vt:lpstr>
      <vt:lpstr>LA-FT-FPADM</vt:lpstr>
      <vt:lpstr>Tablas1</vt:lpstr>
      <vt:lpstr>Puntuaciones</vt:lpstr>
      <vt:lpstr>Hoja2</vt:lpstr>
      <vt:lpstr>Hoja3</vt:lpstr>
      <vt:lpstr>Hoja4</vt:lpstr>
      <vt:lpstr>Hoja5</vt:lpstr>
      <vt:lpstr>Hoja6</vt:lpstr>
      <vt:lpstr>R I</vt:lpstr>
      <vt:lpstr>R I (2)</vt:lpstr>
      <vt:lpstr>RI Consolidado por FR</vt:lpstr>
      <vt:lpstr>Controles</vt:lpstr>
      <vt:lpstr>R R</vt:lpstr>
      <vt:lpstr>RR Consolidado por FR</vt:lpstr>
      <vt:lpstr>Mapa de riesgo</vt:lpstr>
      <vt:lpstr>Tablas1!Área_de_impresión</vt:lpstr>
      <vt:lpstr>CODIGOPROCESO</vt:lpstr>
      <vt:lpstr>'R I (2)'!codr</vt:lpstr>
      <vt:lpstr>codr</vt:lpstr>
      <vt:lpstr>CONSECUENCIAS</vt:lpstr>
      <vt:lpstr>ctrl</vt:lpstr>
      <vt:lpstr>ESTADOS</vt:lpstr>
      <vt:lpstr>Factorderiesgo</vt:lpstr>
      <vt:lpstr>FACTORES</vt:lpstr>
      <vt:lpstr>Factoresriesgo</vt:lpstr>
      <vt:lpstr>pr</vt:lpstr>
      <vt:lpstr>PROCESOS</vt:lpstr>
      <vt:lpstr>RIEGO</vt:lpstr>
      <vt:lpstr>SUBPROCESOS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PABLO LATORRE</dc:creator>
  <cp:lastModifiedBy>Jordan Guzman Vargas</cp:lastModifiedBy>
  <cp:lastPrinted>2018-12-06T16:58:20Z</cp:lastPrinted>
  <dcterms:created xsi:type="dcterms:W3CDTF">2011-04-25T19:59:14Z</dcterms:created>
  <dcterms:modified xsi:type="dcterms:W3CDTF">2024-07-17T16:34:04Z</dcterms:modified>
</cp:coreProperties>
</file>