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tables/table16.xml" ContentType="application/vnd.openxmlformats-officedocument.spreadsheetml.table+xml"/>
  <Override PartName="/xl/drawings/drawing9.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hidePivotFieldList="1" defaultThemeVersion="124226"/>
  <mc:AlternateContent xmlns:mc="http://schemas.openxmlformats.org/markup-compatibility/2006">
    <mc:Choice Requires="x15">
      <x15ac:absPath xmlns:x15ac="http://schemas.microsoft.com/office/spreadsheetml/2010/11/ac" url="C:\Users\nelram\Downloads\"/>
    </mc:Choice>
  </mc:AlternateContent>
  <bookViews>
    <workbookView xWindow="0" yWindow="0" windowWidth="28800" windowHeight="12450" tabRatio="733"/>
  </bookViews>
  <sheets>
    <sheet name="LA-FT-FPADM" sheetId="31" r:id="rId1"/>
    <sheet name="Tablas1" sheetId="15" r:id="rId2"/>
    <sheet name="Puntuaciones" sheetId="21" r:id="rId3"/>
    <sheet name="Hoja2" sheetId="26" state="hidden" r:id="rId4"/>
    <sheet name="Hoja3" sheetId="27" state="hidden" r:id="rId5"/>
    <sheet name="Hoja4" sheetId="28" state="hidden" r:id="rId6"/>
    <sheet name="Hoja5" sheetId="29" state="hidden" r:id="rId7"/>
    <sheet name="Hoja6" sheetId="30" state="hidden" r:id="rId8"/>
    <sheet name="R I" sheetId="6" r:id="rId9"/>
    <sheet name="R I (2)" sheetId="23" state="hidden" r:id="rId10"/>
    <sheet name="RI Consolidado por FR" sheetId="14" r:id="rId11"/>
    <sheet name="Controles" sheetId="19" r:id="rId12"/>
    <sheet name="R R" sheetId="17" r:id="rId13"/>
    <sheet name="RR Consolidado por FR" sheetId="20" r:id="rId14"/>
    <sheet name="Mapa de riesgo" sheetId="12" r:id="rId15"/>
    <sheet name="Tablas" sheetId="8" state="veryHidden" r:id="rId16"/>
  </sheets>
  <definedNames>
    <definedName name="_xlnm._FilterDatabase" localSheetId="11" hidden="1">Controles!$A$8:$AP$43</definedName>
    <definedName name="_xlnm._FilterDatabase" localSheetId="8" hidden="1">'R I'!$B$6:$AM$17</definedName>
    <definedName name="_xlnm._FilterDatabase" localSheetId="9" hidden="1">'R I (2)'!$B$1:$AH$89</definedName>
    <definedName name="_xlnm._FilterDatabase" localSheetId="12" hidden="1">'R R'!$B$5:$X$21</definedName>
    <definedName name="_xlnm.Print_Area" localSheetId="1">Tablas1!$B$2:$M$38</definedName>
    <definedName name="codeve" localSheetId="0">#REF!</definedName>
    <definedName name="codeve">#REF!</definedName>
    <definedName name="CODIGOPROCESO">Tablas!$B$2:$B$13</definedName>
    <definedName name="codr" localSheetId="9">'R I (2)'!$E$2:$X$1048576</definedName>
    <definedName name="codr">'R I'!$E$7:$AC$1048576</definedName>
    <definedName name="CONSECUENCIAS">Tablas!$F$2:$F$12</definedName>
    <definedName name="ctrl">Controles!$B$9:$AE$1048576</definedName>
    <definedName name="ESTADOS">Tablas!$G$2:$G$6</definedName>
    <definedName name="Factorderiesgo">Tablas!$E$2:$E$5</definedName>
    <definedName name="FACTORES">Tablas!$E$2:$E$5</definedName>
    <definedName name="Factoresriesgo">Tablas!$E$2:$E$5</definedName>
    <definedName name="MEDIDAS" localSheetId="0">'Mapa de riesgo'!#REF!</definedName>
    <definedName name="MEDIDAS">'Mapa de riesgo'!#REF!</definedName>
    <definedName name="pr">Controles!$AO$9:$AP$12</definedName>
    <definedName name="PROCESOS">Tablas!$A$2:$A$13</definedName>
    <definedName name="RIEGO">Tablas1!$B$33:$C$36</definedName>
    <definedName name="SUBPROCESOS">Tablas!$C$2:$C$26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 i="17" l="1"/>
  <c r="I13" i="20"/>
  <c r="L37" i="12"/>
  <c r="R4" i="12"/>
  <c r="Q1" i="12"/>
  <c r="T2" i="12"/>
  <c r="T1" i="12"/>
  <c r="U37" i="12"/>
  <c r="T37" i="12"/>
  <c r="R37" i="12"/>
  <c r="Q37" i="12" s="1"/>
  <c r="U36" i="12"/>
  <c r="T36" i="12"/>
  <c r="R36" i="12"/>
  <c r="Q36" i="12"/>
  <c r="U35" i="12"/>
  <c r="T35" i="12"/>
  <c r="R35" i="12"/>
  <c r="Q35" i="12" s="1"/>
  <c r="Z34" i="12"/>
  <c r="Y34" i="12"/>
  <c r="U34" i="12"/>
  <c r="T34" i="12"/>
  <c r="R34" i="12"/>
  <c r="Q34" i="12"/>
  <c r="Z1" i="12"/>
  <c r="Y1" i="12" s="1"/>
  <c r="U4" i="12"/>
  <c r="T4" i="12" s="1"/>
  <c r="U3" i="12"/>
  <c r="T3" i="12" s="1"/>
  <c r="U2" i="12"/>
  <c r="U1" i="12"/>
  <c r="R3" i="12"/>
  <c r="R2" i="12"/>
  <c r="R1" i="12"/>
  <c r="M37" i="12" l="1"/>
  <c r="J37" i="12"/>
  <c r="I37" i="12"/>
  <c r="M36" i="12"/>
  <c r="L36" i="12"/>
  <c r="J36" i="12"/>
  <c r="I36" i="12"/>
  <c r="M35" i="12"/>
  <c r="L35" i="12"/>
  <c r="J35" i="12"/>
  <c r="I35" i="12"/>
  <c r="M34" i="12"/>
  <c r="L34" i="12"/>
  <c r="J34" i="12"/>
  <c r="I34" i="12"/>
  <c r="I4" i="12"/>
  <c r="I3" i="12"/>
  <c r="I2" i="12"/>
  <c r="I1" i="12"/>
  <c r="L4" i="12"/>
  <c r="L3" i="12"/>
  <c r="M4" i="12"/>
  <c r="M3" i="12"/>
  <c r="C6" i="14"/>
  <c r="C7" i="14"/>
  <c r="C8" i="14"/>
  <c r="C9" i="14"/>
  <c r="C10" i="14"/>
  <c r="C11" i="14"/>
  <c r="C12" i="14"/>
  <c r="C13" i="14"/>
  <c r="D6" i="14"/>
  <c r="D13" i="14"/>
  <c r="D12" i="14"/>
  <c r="I10" i="14"/>
  <c r="I11" i="14"/>
  <c r="I12" i="14"/>
  <c r="I13" i="14"/>
  <c r="I14" i="14"/>
  <c r="J10" i="14"/>
  <c r="J11" i="14"/>
  <c r="J13" i="14"/>
  <c r="J14" i="14"/>
  <c r="H12" i="6"/>
  <c r="I12" i="6"/>
  <c r="I8" i="6"/>
  <c r="I19" i="6"/>
  <c r="I18" i="6"/>
  <c r="I15" i="6"/>
  <c r="I17" i="6"/>
  <c r="I16" i="6"/>
  <c r="I14" i="6"/>
  <c r="I13" i="6"/>
  <c r="I11" i="6"/>
  <c r="I7" i="6"/>
  <c r="I10" i="6"/>
  <c r="I9" i="6"/>
  <c r="H89" i="23"/>
  <c r="H88" i="23"/>
  <c r="H87" i="23"/>
  <c r="H86" i="23"/>
  <c r="H85" i="23"/>
  <c r="H84" i="23"/>
  <c r="H83" i="23"/>
  <c r="H82" i="23"/>
  <c r="H81" i="23"/>
  <c r="H80" i="23"/>
  <c r="H79" i="23"/>
  <c r="H78" i="23"/>
  <c r="H77" i="23"/>
  <c r="H76" i="23"/>
  <c r="H75" i="23"/>
  <c r="H74" i="23"/>
  <c r="H73" i="23"/>
  <c r="H72" i="23"/>
  <c r="H71" i="23"/>
  <c r="H70" i="23"/>
  <c r="H69" i="23"/>
  <c r="H68" i="23"/>
  <c r="H67" i="23"/>
  <c r="H66" i="23"/>
  <c r="H65" i="23"/>
  <c r="H64" i="23"/>
  <c r="H63" i="23"/>
  <c r="H62" i="23"/>
  <c r="H61" i="23"/>
  <c r="H60" i="23"/>
  <c r="H59" i="23"/>
  <c r="H58" i="23"/>
  <c r="H57" i="23"/>
  <c r="H56" i="23"/>
  <c r="H55" i="23"/>
  <c r="H54" i="23"/>
  <c r="H53" i="23"/>
  <c r="H52" i="23"/>
  <c r="H51" i="23"/>
  <c r="H50" i="23"/>
  <c r="H49" i="23"/>
  <c r="H48" i="23"/>
  <c r="H47" i="23"/>
  <c r="H46" i="23"/>
  <c r="H45" i="23"/>
  <c r="H44" i="23"/>
  <c r="H43" i="23"/>
  <c r="H42" i="23"/>
  <c r="H41" i="23"/>
  <c r="H40" i="23"/>
  <c r="H39" i="23"/>
  <c r="H38" i="23"/>
  <c r="H37" i="23"/>
  <c r="H36" i="23"/>
  <c r="H35" i="23"/>
  <c r="H34" i="23"/>
  <c r="H33" i="23"/>
  <c r="H32" i="23"/>
  <c r="H31" i="23"/>
  <c r="H30" i="23"/>
  <c r="H29" i="23"/>
  <c r="H28" i="23"/>
  <c r="H27" i="23"/>
  <c r="H26" i="23"/>
  <c r="H25" i="23"/>
  <c r="H24" i="23"/>
  <c r="H23" i="23"/>
  <c r="H22" i="23"/>
  <c r="H21" i="23"/>
  <c r="H20" i="23"/>
  <c r="H19" i="23"/>
  <c r="H18" i="23"/>
  <c r="H17" i="23"/>
  <c r="H16" i="23"/>
  <c r="H15" i="23"/>
  <c r="H14" i="23"/>
  <c r="H13" i="23"/>
  <c r="H12" i="23"/>
  <c r="H11" i="23"/>
  <c r="H10" i="23"/>
  <c r="H9" i="23"/>
  <c r="H8" i="23"/>
  <c r="H7" i="23"/>
  <c r="H6" i="23"/>
  <c r="H5" i="23"/>
  <c r="H4" i="23"/>
  <c r="H3" i="23"/>
  <c r="H2" i="23"/>
  <c r="E12" i="14" l="1"/>
  <c r="F12" i="14" s="1"/>
  <c r="E6" i="14"/>
  <c r="F6" i="14" s="1"/>
  <c r="E13" i="14"/>
  <c r="F13" i="14" s="1"/>
  <c r="D7" i="14"/>
  <c r="D8" i="14"/>
  <c r="D9" i="14"/>
  <c r="D10" i="14"/>
  <c r="M6" i="14"/>
  <c r="M7" i="14"/>
  <c r="M8" i="14"/>
  <c r="M9" i="14"/>
  <c r="L10" i="17"/>
  <c r="M10" i="17"/>
  <c r="N10" i="17"/>
  <c r="O10" i="17"/>
  <c r="L11" i="17"/>
  <c r="M11" i="17"/>
  <c r="N11" i="17"/>
  <c r="O11" i="17"/>
  <c r="L12" i="17"/>
  <c r="M12" i="17"/>
  <c r="N12" i="17"/>
  <c r="O12" i="17"/>
  <c r="L13" i="17"/>
  <c r="M13" i="17"/>
  <c r="N13" i="17"/>
  <c r="O13" i="17"/>
  <c r="L14" i="17"/>
  <c r="M14" i="17"/>
  <c r="N14" i="17"/>
  <c r="O14" i="17"/>
  <c r="L15" i="17"/>
  <c r="M15" i="17"/>
  <c r="N15" i="17"/>
  <c r="O15" i="17"/>
  <c r="L16" i="17"/>
  <c r="M16" i="17"/>
  <c r="N16" i="17"/>
  <c r="O16" i="17"/>
  <c r="L17" i="17"/>
  <c r="M17" i="17"/>
  <c r="N17" i="17"/>
  <c r="O17" i="17"/>
  <c r="L18" i="17"/>
  <c r="M18" i="17"/>
  <c r="N18" i="17"/>
  <c r="O18" i="17"/>
  <c r="L19" i="17"/>
  <c r="M19" i="17"/>
  <c r="N19" i="17"/>
  <c r="O19" i="17"/>
  <c r="L20" i="17"/>
  <c r="M20" i="17"/>
  <c r="N20" i="17"/>
  <c r="O20" i="17"/>
  <c r="L21" i="17"/>
  <c r="M21" i="17"/>
  <c r="N21" i="17"/>
  <c r="O21" i="17"/>
  <c r="O9" i="17"/>
  <c r="N9" i="17"/>
  <c r="M9" i="17"/>
  <c r="L9" i="17"/>
  <c r="E10" i="14" l="1"/>
  <c r="F10" i="14" s="1"/>
  <c r="T11" i="19"/>
  <c r="X11" i="19"/>
  <c r="AB11" i="19"/>
  <c r="AV11" i="19"/>
  <c r="C10" i="17"/>
  <c r="C11" i="17"/>
  <c r="C12" i="17"/>
  <c r="C13" i="17"/>
  <c r="C14" i="17"/>
  <c r="C15" i="17"/>
  <c r="C16" i="17"/>
  <c r="C17" i="17"/>
  <c r="C18" i="17"/>
  <c r="C19" i="17"/>
  <c r="C20" i="17"/>
  <c r="C21" i="17"/>
  <c r="D19" i="17"/>
  <c r="D20" i="17"/>
  <c r="D21" i="17"/>
  <c r="E8" i="6"/>
  <c r="H8" i="6"/>
  <c r="R8" i="6"/>
  <c r="S8" i="6" s="1"/>
  <c r="AB10" i="19"/>
  <c r="AB12" i="19"/>
  <c r="AB13" i="19"/>
  <c r="AB14" i="19"/>
  <c r="AB1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X10" i="19"/>
  <c r="X12" i="19"/>
  <c r="X13" i="19"/>
  <c r="X14" i="19"/>
  <c r="X15" i="19"/>
  <c r="X16" i="19"/>
  <c r="X17" i="19"/>
  <c r="X18" i="19"/>
  <c r="X19" i="19"/>
  <c r="X20" i="19"/>
  <c r="X21" i="19"/>
  <c r="X22" i="19"/>
  <c r="X23" i="19"/>
  <c r="X24" i="19"/>
  <c r="X25" i="19"/>
  <c r="X26" i="19"/>
  <c r="X27" i="19"/>
  <c r="X28" i="19"/>
  <c r="X29" i="19"/>
  <c r="X30" i="19"/>
  <c r="X31" i="19"/>
  <c r="X32" i="19"/>
  <c r="X33" i="19"/>
  <c r="X34" i="19"/>
  <c r="X35" i="19"/>
  <c r="X36" i="19"/>
  <c r="X37" i="19"/>
  <c r="X38" i="19"/>
  <c r="X39" i="19"/>
  <c r="X40" i="19"/>
  <c r="X41" i="19"/>
  <c r="T17" i="19"/>
  <c r="T18" i="19"/>
  <c r="T19" i="19"/>
  <c r="T20" i="19"/>
  <c r="T21" i="19"/>
  <c r="T22" i="19"/>
  <c r="T23" i="19"/>
  <c r="T24" i="19"/>
  <c r="T25" i="19"/>
  <c r="T26" i="19"/>
  <c r="T27" i="19"/>
  <c r="T28" i="19"/>
  <c r="T29" i="19"/>
  <c r="T30" i="19"/>
  <c r="T31" i="19"/>
  <c r="T32" i="19"/>
  <c r="T33" i="19"/>
  <c r="T34" i="19"/>
  <c r="T35" i="19"/>
  <c r="T36" i="19"/>
  <c r="T37" i="19"/>
  <c r="T38" i="19"/>
  <c r="T39" i="19"/>
  <c r="T40" i="19"/>
  <c r="T41" i="19"/>
  <c r="D10" i="17"/>
  <c r="D11" i="17"/>
  <c r="D12" i="17"/>
  <c r="D13" i="17"/>
  <c r="D14" i="17"/>
  <c r="D15" i="17"/>
  <c r="D16" i="17"/>
  <c r="D17" i="17"/>
  <c r="D18" i="17"/>
  <c r="D9" i="17"/>
  <c r="C9" i="17"/>
  <c r="R19" i="6"/>
  <c r="V19" i="6" s="1"/>
  <c r="H19" i="6"/>
  <c r="E19" i="6"/>
  <c r="R18" i="6"/>
  <c r="H18" i="6"/>
  <c r="E18" i="6"/>
  <c r="AC11" i="19" l="1"/>
  <c r="V8" i="6"/>
  <c r="U8" i="6"/>
  <c r="T8" i="6"/>
  <c r="AA8" i="6" s="1"/>
  <c r="AB8" i="6" s="1"/>
  <c r="AC8" i="6" s="1"/>
  <c r="V18" i="6"/>
  <c r="U18" i="6"/>
  <c r="AC41" i="19"/>
  <c r="AD41" i="19" s="1"/>
  <c r="AC40" i="19"/>
  <c r="AC39" i="19"/>
  <c r="AC38" i="19"/>
  <c r="AC37" i="19"/>
  <c r="AC36" i="19"/>
  <c r="AC35" i="19"/>
  <c r="AC34" i="19"/>
  <c r="AC33" i="19"/>
  <c r="AC32" i="19"/>
  <c r="AC31" i="19"/>
  <c r="AC30" i="19"/>
  <c r="AC29" i="19"/>
  <c r="AC28" i="19"/>
  <c r="AC27" i="19"/>
  <c r="AC26" i="19"/>
  <c r="AC25" i="19"/>
  <c r="AC24" i="19"/>
  <c r="AC23" i="19"/>
  <c r="AC22" i="19"/>
  <c r="AC21" i="19"/>
  <c r="AC20" i="19"/>
  <c r="AC19" i="19"/>
  <c r="AC18" i="19"/>
  <c r="AC17" i="19"/>
  <c r="T19" i="6"/>
  <c r="S19" i="6"/>
  <c r="U19" i="6"/>
  <c r="S18" i="6"/>
  <c r="T18" i="6"/>
  <c r="AD30" i="19" l="1"/>
  <c r="AA19" i="6"/>
  <c r="AA18" i="6"/>
  <c r="AB18" i="6" s="1"/>
  <c r="AC18" i="6" s="1"/>
  <c r="AB19" i="6" l="1"/>
  <c r="AC19" i="6" s="1"/>
  <c r="E9" i="14"/>
  <c r="AE41" i="19"/>
  <c r="R15" i="6"/>
  <c r="V15" i="6" s="1"/>
  <c r="H15" i="6"/>
  <c r="E15" i="6"/>
  <c r="S15" i="6" l="1"/>
  <c r="U15" i="6"/>
  <c r="T15" i="6"/>
  <c r="AA15" i="6" l="1"/>
  <c r="AB15" i="6" s="1"/>
  <c r="AC15" i="6" s="1"/>
  <c r="G69" i="23" l="1"/>
  <c r="G68" i="23"/>
  <c r="G67" i="23"/>
  <c r="G66" i="23"/>
  <c r="E17" i="6" l="1"/>
  <c r="H17" i="6" l="1"/>
  <c r="R17" i="6"/>
  <c r="V17" i="6" s="1"/>
  <c r="H16" i="6"/>
  <c r="R16" i="6"/>
  <c r="U16" i="6" s="1"/>
  <c r="H14" i="6"/>
  <c r="R14" i="6"/>
  <c r="V14" i="6" s="1"/>
  <c r="H13" i="6"/>
  <c r="R12" i="6"/>
  <c r="T12" i="6" s="1"/>
  <c r="H11" i="6"/>
  <c r="R11" i="6"/>
  <c r="V11" i="6" s="1"/>
  <c r="R7" i="6"/>
  <c r="V7" i="6" s="1"/>
  <c r="H7" i="6"/>
  <c r="E7" i="6"/>
  <c r="R10" i="6"/>
  <c r="V10" i="6" s="1"/>
  <c r="H10" i="6"/>
  <c r="E10" i="6"/>
  <c r="H9" i="6"/>
  <c r="R9" i="6"/>
  <c r="V9" i="6" s="1"/>
  <c r="V16" i="6" l="1"/>
  <c r="T16" i="6"/>
  <c r="T17" i="6"/>
  <c r="S17" i="6"/>
  <c r="U17" i="6"/>
  <c r="S16" i="6"/>
  <c r="S12" i="6"/>
  <c r="U12" i="6"/>
  <c r="V12" i="6"/>
  <c r="S14" i="6"/>
  <c r="T14" i="6"/>
  <c r="U14" i="6"/>
  <c r="S11" i="6"/>
  <c r="T11" i="6"/>
  <c r="U11" i="6"/>
  <c r="S7" i="6"/>
  <c r="T7" i="6"/>
  <c r="U7" i="6"/>
  <c r="S10" i="6"/>
  <c r="T10" i="6"/>
  <c r="U10" i="6"/>
  <c r="S9" i="6"/>
  <c r="T9" i="6"/>
  <c r="U9" i="6"/>
  <c r="AA17" i="6" l="1"/>
  <c r="AA10" i="6"/>
  <c r="AB10" i="6" s="1"/>
  <c r="AC10" i="6" s="1"/>
  <c r="L9" i="20"/>
  <c r="L8" i="20"/>
  <c r="L7" i="20"/>
  <c r="L6" i="20"/>
  <c r="AB17" i="6" l="1"/>
  <c r="AC17" i="6" s="1"/>
  <c r="J12" i="14"/>
  <c r="D11" i="14"/>
  <c r="E11" i="14" s="1"/>
  <c r="F11" i="14" s="1"/>
  <c r="L6" i="14"/>
  <c r="L7" i="14"/>
  <c r="L8" i="14"/>
  <c r="L9" i="14"/>
  <c r="AV10" i="19" l="1"/>
  <c r="AV12" i="19"/>
  <c r="AV9" i="19"/>
  <c r="B10" i="17" l="1"/>
  <c r="B11" i="17"/>
  <c r="B12" i="17"/>
  <c r="B13" i="17"/>
  <c r="B14" i="17"/>
  <c r="B15" i="17"/>
  <c r="B16" i="17"/>
  <c r="B17" i="17"/>
  <c r="B18" i="17"/>
  <c r="B19" i="17"/>
  <c r="B20" i="17"/>
  <c r="B21" i="17"/>
  <c r="B9" i="17"/>
  <c r="R13" i="6"/>
  <c r="U13" i="6" s="1"/>
  <c r="G9" i="17" l="1"/>
  <c r="E9" i="17"/>
  <c r="V13" i="6"/>
  <c r="S13" i="6"/>
  <c r="T13" i="6"/>
  <c r="AA16" i="6" l="1"/>
  <c r="AB16" i="6" s="1"/>
  <c r="AC16" i="6" s="1"/>
  <c r="AA9" i="6"/>
  <c r="AA13" i="6"/>
  <c r="AB13" i="6" s="1"/>
  <c r="AC13" i="6" s="1"/>
  <c r="AA11" i="6"/>
  <c r="AB11" i="6" s="1"/>
  <c r="AC11" i="6" s="1"/>
  <c r="AA14" i="6"/>
  <c r="AB14" i="6" s="1"/>
  <c r="AC14" i="6" s="1"/>
  <c r="AA7" i="6"/>
  <c r="AA12" i="6"/>
  <c r="O89" i="23"/>
  <c r="G89" i="23"/>
  <c r="E89" i="23"/>
  <c r="O88" i="23"/>
  <c r="G88" i="23"/>
  <c r="E88" i="23"/>
  <c r="O87" i="23"/>
  <c r="G87" i="23"/>
  <c r="E87" i="23"/>
  <c r="O86" i="23"/>
  <c r="G86" i="23"/>
  <c r="E86" i="23"/>
  <c r="O85" i="23"/>
  <c r="G85" i="23"/>
  <c r="E85" i="23"/>
  <c r="O84" i="23"/>
  <c r="G84" i="23"/>
  <c r="E84" i="23"/>
  <c r="O83" i="23"/>
  <c r="G83" i="23"/>
  <c r="E83" i="23"/>
  <c r="O82" i="23"/>
  <c r="G82" i="23"/>
  <c r="E82" i="23"/>
  <c r="O81" i="23"/>
  <c r="G81" i="23"/>
  <c r="E81" i="23"/>
  <c r="O80" i="23"/>
  <c r="G80" i="23"/>
  <c r="E80" i="23"/>
  <c r="O79" i="23"/>
  <c r="G79" i="23"/>
  <c r="E79" i="23"/>
  <c r="O78" i="23"/>
  <c r="G78" i="23"/>
  <c r="E78" i="23"/>
  <c r="O77" i="23"/>
  <c r="G77" i="23"/>
  <c r="E77" i="23"/>
  <c r="O76" i="23"/>
  <c r="G76" i="23"/>
  <c r="E76" i="23"/>
  <c r="O75" i="23"/>
  <c r="G75" i="23"/>
  <c r="E75" i="23"/>
  <c r="O74" i="23"/>
  <c r="G74" i="23"/>
  <c r="E74" i="23"/>
  <c r="O73" i="23"/>
  <c r="G73" i="23"/>
  <c r="E73" i="23"/>
  <c r="O72" i="23"/>
  <c r="G72" i="23"/>
  <c r="E72" i="23"/>
  <c r="O71" i="23"/>
  <c r="G71" i="23"/>
  <c r="E71" i="23"/>
  <c r="O70" i="23"/>
  <c r="G70" i="23"/>
  <c r="E70" i="23"/>
  <c r="O69" i="23"/>
  <c r="E69" i="23"/>
  <c r="O68" i="23"/>
  <c r="E68" i="23"/>
  <c r="O67" i="23"/>
  <c r="E67" i="23"/>
  <c r="O66" i="23"/>
  <c r="E66" i="23"/>
  <c r="O65" i="23"/>
  <c r="G65" i="23"/>
  <c r="E65" i="23"/>
  <c r="O64" i="23"/>
  <c r="G64" i="23"/>
  <c r="E64" i="23"/>
  <c r="O63" i="23"/>
  <c r="G63" i="23"/>
  <c r="E63" i="23"/>
  <c r="O62" i="23"/>
  <c r="G62" i="23"/>
  <c r="E62" i="23"/>
  <c r="O61" i="23"/>
  <c r="G61" i="23"/>
  <c r="E61" i="23"/>
  <c r="O60" i="23"/>
  <c r="G60" i="23"/>
  <c r="E60" i="23"/>
  <c r="O59" i="23"/>
  <c r="G59" i="23"/>
  <c r="E59" i="23"/>
  <c r="O58" i="23"/>
  <c r="G58" i="23"/>
  <c r="E58" i="23"/>
  <c r="O57" i="23"/>
  <c r="G57" i="23"/>
  <c r="E57" i="23"/>
  <c r="O56" i="23"/>
  <c r="G56" i="23"/>
  <c r="E56" i="23"/>
  <c r="O55" i="23"/>
  <c r="G55" i="23"/>
  <c r="E55" i="23"/>
  <c r="W54" i="23"/>
  <c r="X54" i="23" s="1"/>
  <c r="O54" i="23"/>
  <c r="G54" i="23"/>
  <c r="E54" i="23"/>
  <c r="O53" i="23"/>
  <c r="G53" i="23"/>
  <c r="E53" i="23"/>
  <c r="O52" i="23"/>
  <c r="G52" i="23"/>
  <c r="E52" i="23"/>
  <c r="O51" i="23"/>
  <c r="G51" i="23"/>
  <c r="E51" i="23"/>
  <c r="O50" i="23"/>
  <c r="G50" i="23"/>
  <c r="E50" i="23"/>
  <c r="O49" i="23"/>
  <c r="G49" i="23"/>
  <c r="E49" i="23"/>
  <c r="O48" i="23"/>
  <c r="G48" i="23"/>
  <c r="E48" i="23"/>
  <c r="O47" i="23"/>
  <c r="G47" i="23"/>
  <c r="E47" i="23"/>
  <c r="O46" i="23"/>
  <c r="G46" i="23"/>
  <c r="E46" i="23"/>
  <c r="O45" i="23"/>
  <c r="G45" i="23"/>
  <c r="E45" i="23"/>
  <c r="O44" i="23"/>
  <c r="G44" i="23"/>
  <c r="E44" i="23"/>
  <c r="O43" i="23"/>
  <c r="G43" i="23"/>
  <c r="E43" i="23"/>
  <c r="O42" i="23"/>
  <c r="G42" i="23"/>
  <c r="E42" i="23"/>
  <c r="O41" i="23"/>
  <c r="G41" i="23"/>
  <c r="E41" i="23"/>
  <c r="O40" i="23"/>
  <c r="G40" i="23"/>
  <c r="E40" i="23"/>
  <c r="O39" i="23"/>
  <c r="G39" i="23"/>
  <c r="E39" i="23"/>
  <c r="O38" i="23"/>
  <c r="G38" i="23"/>
  <c r="E38" i="23"/>
  <c r="O37" i="23"/>
  <c r="G37" i="23"/>
  <c r="E37" i="23"/>
  <c r="O36" i="23"/>
  <c r="G36" i="23"/>
  <c r="E36" i="23"/>
  <c r="O35" i="23"/>
  <c r="G35" i="23"/>
  <c r="E35" i="23"/>
  <c r="O34" i="23"/>
  <c r="G34" i="23"/>
  <c r="E34" i="23"/>
  <c r="O33" i="23"/>
  <c r="G33" i="23"/>
  <c r="E33" i="23"/>
  <c r="O32" i="23"/>
  <c r="G32" i="23"/>
  <c r="E32" i="23"/>
  <c r="O31" i="23"/>
  <c r="G31" i="23"/>
  <c r="E31" i="23"/>
  <c r="O30" i="23"/>
  <c r="G30" i="23"/>
  <c r="E30" i="23"/>
  <c r="O29" i="23"/>
  <c r="G29" i="23"/>
  <c r="E29" i="23"/>
  <c r="O28" i="23"/>
  <c r="G28" i="23"/>
  <c r="E28" i="23"/>
  <c r="O27" i="23"/>
  <c r="G27" i="23"/>
  <c r="E27" i="23"/>
  <c r="O26" i="23"/>
  <c r="G26" i="23"/>
  <c r="E26" i="23"/>
  <c r="O25" i="23"/>
  <c r="G25" i="23"/>
  <c r="E25" i="23"/>
  <c r="O24" i="23"/>
  <c r="G24" i="23"/>
  <c r="E24" i="23"/>
  <c r="O23" i="23"/>
  <c r="G23" i="23"/>
  <c r="E23" i="23"/>
  <c r="W22" i="23"/>
  <c r="X22" i="23" s="1"/>
  <c r="O22" i="23"/>
  <c r="G22" i="23"/>
  <c r="E22" i="23"/>
  <c r="W21" i="23"/>
  <c r="X21" i="23" s="1"/>
  <c r="O21" i="23"/>
  <c r="G21" i="23"/>
  <c r="E21" i="23"/>
  <c r="W20" i="23"/>
  <c r="X20" i="23" s="1"/>
  <c r="O20" i="23"/>
  <c r="G20" i="23"/>
  <c r="E20" i="23"/>
  <c r="W19" i="23"/>
  <c r="X19" i="23" s="1"/>
  <c r="O19" i="23"/>
  <c r="G19" i="23"/>
  <c r="E19" i="23"/>
  <c r="W18" i="23"/>
  <c r="X18" i="23" s="1"/>
  <c r="O18" i="23"/>
  <c r="G18" i="23"/>
  <c r="E18" i="23"/>
  <c r="W17" i="23"/>
  <c r="X17" i="23" s="1"/>
  <c r="O17" i="23"/>
  <c r="G17" i="23"/>
  <c r="E17" i="23"/>
  <c r="W16" i="23"/>
  <c r="X16" i="23" s="1"/>
  <c r="O16" i="23"/>
  <c r="G16" i="23"/>
  <c r="E16" i="23"/>
  <c r="W15" i="23"/>
  <c r="X15" i="23" s="1"/>
  <c r="O15" i="23"/>
  <c r="G15" i="23"/>
  <c r="E15" i="23"/>
  <c r="W14" i="23"/>
  <c r="X14" i="23" s="1"/>
  <c r="O14" i="23"/>
  <c r="G14" i="23"/>
  <c r="E14" i="23"/>
  <c r="O13" i="23"/>
  <c r="G13" i="23"/>
  <c r="E13" i="23"/>
  <c r="O12" i="23"/>
  <c r="G12" i="23"/>
  <c r="E12" i="23"/>
  <c r="W11" i="23"/>
  <c r="X11" i="23" s="1"/>
  <c r="O11" i="23"/>
  <c r="G11" i="23"/>
  <c r="E11" i="23"/>
  <c r="W10" i="23"/>
  <c r="X10" i="23" s="1"/>
  <c r="O10" i="23"/>
  <c r="G10" i="23"/>
  <c r="E10" i="23"/>
  <c r="O9" i="23"/>
  <c r="G9" i="23"/>
  <c r="E9" i="23"/>
  <c r="O8" i="23"/>
  <c r="G8" i="23"/>
  <c r="E8" i="23"/>
  <c r="O7" i="23"/>
  <c r="G7" i="23"/>
  <c r="E7" i="23"/>
  <c r="W6" i="23"/>
  <c r="X6" i="23" s="1"/>
  <c r="O6" i="23"/>
  <c r="G6" i="23"/>
  <c r="E6" i="23"/>
  <c r="W5" i="23"/>
  <c r="X5" i="23" s="1"/>
  <c r="O5" i="23"/>
  <c r="G5" i="23"/>
  <c r="E5" i="23"/>
  <c r="W4" i="23"/>
  <c r="X4" i="23" s="1"/>
  <c r="O4" i="23"/>
  <c r="G4" i="23"/>
  <c r="E4" i="23"/>
  <c r="W3" i="23"/>
  <c r="X3" i="23" s="1"/>
  <c r="O3" i="23"/>
  <c r="G3" i="23"/>
  <c r="E3" i="23"/>
  <c r="W2" i="23"/>
  <c r="X2" i="23" s="1"/>
  <c r="O2" i="23"/>
  <c r="G2" i="23"/>
  <c r="E2" i="23"/>
  <c r="AJ3" i="6"/>
  <c r="AB7" i="6" l="1"/>
  <c r="AC7" i="6" s="1"/>
  <c r="AB9" i="6"/>
  <c r="AC9" i="6" s="1"/>
  <c r="AB12" i="6"/>
  <c r="AC12" i="6" s="1"/>
  <c r="E16" i="6" l="1"/>
  <c r="E13" i="6" l="1"/>
  <c r="E14" i="6"/>
  <c r="E12" i="6" l="1"/>
  <c r="E11" i="6" l="1"/>
  <c r="J9" i="14" l="1"/>
  <c r="I9" i="14"/>
  <c r="J8" i="14"/>
  <c r="I8" i="14"/>
  <c r="J7" i="14"/>
  <c r="I7" i="14"/>
  <c r="J6" i="14"/>
  <c r="I6" i="14"/>
  <c r="E9" i="6"/>
  <c r="C40" i="19" s="1"/>
  <c r="E17" i="17" l="1"/>
  <c r="E18" i="17"/>
  <c r="E19" i="17"/>
  <c r="E20" i="17"/>
  <c r="E21" i="17"/>
  <c r="E16" i="17"/>
  <c r="E10" i="17"/>
  <c r="E15" i="17"/>
  <c r="E11" i="17"/>
  <c r="E12" i="17"/>
  <c r="E13" i="17"/>
  <c r="E14" i="17"/>
  <c r="C41" i="19"/>
  <c r="C19" i="19" l="1"/>
  <c r="C34" i="19"/>
  <c r="C36" i="19"/>
  <c r="C15" i="19"/>
  <c r="C30" i="19"/>
  <c r="C27" i="19"/>
  <c r="C24" i="19"/>
  <c r="C37" i="19"/>
  <c r="C21" i="19"/>
  <c r="C12" i="19"/>
  <c r="K14" i="17"/>
  <c r="K21" i="17"/>
  <c r="K13" i="17"/>
  <c r="K20" i="17"/>
  <c r="K12" i="17"/>
  <c r="K17" i="17"/>
  <c r="K19" i="17"/>
  <c r="K11" i="17"/>
  <c r="K18" i="17"/>
  <c r="K10" i="17"/>
  <c r="K15" i="17"/>
  <c r="K16" i="17"/>
  <c r="J14" i="17"/>
  <c r="I20" i="17"/>
  <c r="I12" i="17"/>
  <c r="J21" i="17"/>
  <c r="J13" i="17"/>
  <c r="I19" i="17"/>
  <c r="I11" i="17"/>
  <c r="C9" i="19"/>
  <c r="J20" i="17"/>
  <c r="J12" i="17"/>
  <c r="I18" i="17"/>
  <c r="I10" i="17"/>
  <c r="J19" i="17"/>
  <c r="J11" i="17"/>
  <c r="I17" i="17"/>
  <c r="I9" i="17"/>
  <c r="J15" i="17"/>
  <c r="I13" i="17"/>
  <c r="J18" i="17"/>
  <c r="J10" i="17"/>
  <c r="I16" i="17"/>
  <c r="J17" i="17"/>
  <c r="J9" i="17"/>
  <c r="I15" i="17"/>
  <c r="I21" i="17"/>
  <c r="J16" i="17"/>
  <c r="I14" i="17"/>
  <c r="F13" i="17"/>
  <c r="Q4" i="12" l="1"/>
  <c r="Q3" i="12"/>
  <c r="Q2" i="12"/>
  <c r="J4" i="12"/>
  <c r="J3" i="12"/>
  <c r="J2" i="12"/>
  <c r="J1" i="12"/>
  <c r="M2" i="12"/>
  <c r="M1" i="12"/>
  <c r="L2" i="12"/>
  <c r="L1" i="12"/>
  <c r="T9" i="19" l="1"/>
  <c r="T10" i="19"/>
  <c r="AC10" i="19" s="1"/>
  <c r="T12" i="19"/>
  <c r="AC12" i="19" s="1"/>
  <c r="T13" i="19"/>
  <c r="AC13" i="19" s="1"/>
  <c r="T14" i="19"/>
  <c r="AC14" i="19" s="1"/>
  <c r="T15" i="19"/>
  <c r="AC15" i="19" s="1"/>
  <c r="T16" i="19"/>
  <c r="AC16" i="19" s="1"/>
  <c r="AD15" i="19" l="1"/>
  <c r="F19" i="17"/>
  <c r="F16" i="17"/>
  <c r="F12" i="17"/>
  <c r="F11" i="17"/>
  <c r="F15" i="17"/>
  <c r="F14" i="17"/>
  <c r="F17" i="17" l="1"/>
  <c r="F21" i="17"/>
  <c r="F20" i="17"/>
  <c r="F9" i="17"/>
  <c r="F10" i="17"/>
  <c r="F18" i="17"/>
  <c r="AB9" i="19" l="1"/>
  <c r="X9" i="19" l="1"/>
  <c r="AC9" i="19" s="1"/>
  <c r="AD9" i="19" s="1"/>
  <c r="AD36" i="19" l="1"/>
  <c r="AE30" i="19"/>
  <c r="AD40" i="19"/>
  <c r="AD19" i="19"/>
  <c r="AE40" i="19" l="1"/>
  <c r="AD34" i="19"/>
  <c r="AE34" i="19" s="1"/>
  <c r="AE9" i="19"/>
  <c r="H9" i="17" s="1"/>
  <c r="AD21" i="19"/>
  <c r="AE21" i="19" s="1"/>
  <c r="H13" i="17" s="1"/>
  <c r="AE19" i="19"/>
  <c r="H12" i="17" s="1"/>
  <c r="AD37" i="19"/>
  <c r="AE37" i="19" s="1"/>
  <c r="AD27" i="19"/>
  <c r="AE27" i="19" s="1"/>
  <c r="H16" i="17" s="1"/>
  <c r="AE36" i="19"/>
  <c r="AE15" i="19"/>
  <c r="H11" i="17" s="1"/>
  <c r="AD12" i="19"/>
  <c r="AE12" i="19" s="1"/>
  <c r="H10" i="17" s="1"/>
  <c r="AD24" i="19"/>
  <c r="AE24" i="19" s="1"/>
  <c r="H14" i="17" s="1"/>
  <c r="P9" i="17" l="1"/>
  <c r="Q9" i="17"/>
  <c r="S9" i="17"/>
  <c r="R9" i="17"/>
  <c r="R14" i="17"/>
  <c r="S14" i="17"/>
  <c r="Q14" i="17"/>
  <c r="P14" i="17"/>
  <c r="T10" i="17"/>
  <c r="P10" i="17"/>
  <c r="Q10" i="17"/>
  <c r="R10" i="17"/>
  <c r="S10" i="17"/>
  <c r="T11" i="17"/>
  <c r="R11" i="17"/>
  <c r="S11" i="17"/>
  <c r="Q11" i="17"/>
  <c r="P11" i="17"/>
  <c r="P16" i="17"/>
  <c r="Q16" i="17"/>
  <c r="R16" i="17"/>
  <c r="S16" i="17"/>
  <c r="Q12" i="17"/>
  <c r="R12" i="17"/>
  <c r="S12" i="17"/>
  <c r="P12" i="17"/>
  <c r="P13" i="17"/>
  <c r="Q13" i="17"/>
  <c r="R13" i="17"/>
  <c r="S13" i="17"/>
  <c r="H19" i="17"/>
  <c r="H21" i="17"/>
  <c r="H17" i="17"/>
  <c r="H20" i="17"/>
  <c r="H18" i="17"/>
  <c r="H15" i="17"/>
  <c r="T16" i="17"/>
  <c r="T12" i="17"/>
  <c r="T14" i="17"/>
  <c r="T13" i="17"/>
  <c r="Q15" i="17" l="1"/>
  <c r="S15" i="17"/>
  <c r="R15" i="17"/>
  <c r="P15" i="17"/>
  <c r="Q18" i="17"/>
  <c r="S18" i="17"/>
  <c r="P18" i="17"/>
  <c r="R18" i="17"/>
  <c r="R20" i="17"/>
  <c r="S20" i="17"/>
  <c r="Q20" i="17"/>
  <c r="P20" i="17"/>
  <c r="Q21" i="17"/>
  <c r="R21" i="17"/>
  <c r="S21" i="17"/>
  <c r="P21" i="17"/>
  <c r="R17" i="17"/>
  <c r="S17" i="17"/>
  <c r="Q17" i="17"/>
  <c r="P17" i="17"/>
  <c r="P19" i="17"/>
  <c r="Q19" i="17"/>
  <c r="R19" i="17"/>
  <c r="S19" i="17"/>
  <c r="T19" i="17"/>
  <c r="T21" i="17"/>
  <c r="T18" i="17"/>
  <c r="I14" i="20" s="1"/>
  <c r="T17" i="17"/>
  <c r="T15" i="17"/>
  <c r="T20" i="17"/>
  <c r="I9" i="20"/>
  <c r="I11" i="20"/>
  <c r="I6" i="20"/>
  <c r="I8" i="20"/>
  <c r="E7" i="14"/>
  <c r="F7" i="14" s="1"/>
  <c r="I10" i="20" l="1"/>
  <c r="I12" i="20"/>
  <c r="I7" i="20"/>
  <c r="M6" i="20"/>
  <c r="M9" i="20"/>
  <c r="M8" i="20"/>
  <c r="M7" i="20"/>
  <c r="U14" i="17"/>
  <c r="U15" i="17"/>
  <c r="U16" i="17"/>
  <c r="U17" i="17"/>
  <c r="U18" i="17"/>
  <c r="J14" i="20" s="1"/>
  <c r="U19" i="17"/>
  <c r="U20" i="17"/>
  <c r="U21" i="17"/>
  <c r="U12" i="17"/>
  <c r="U13" i="17"/>
  <c r="U10" i="17"/>
  <c r="U11" i="17"/>
  <c r="J12" i="20" l="1"/>
  <c r="J9" i="20"/>
  <c r="J10" i="20"/>
  <c r="J8" i="20"/>
  <c r="J11" i="20"/>
  <c r="G10" i="17" l="1"/>
  <c r="G11" i="17"/>
  <c r="G12" i="17"/>
  <c r="G13" i="17"/>
  <c r="G14" i="17"/>
  <c r="G15" i="17"/>
  <c r="G16" i="17"/>
  <c r="G17" i="17"/>
  <c r="G18" i="17"/>
  <c r="G19" i="17"/>
  <c r="G20" i="17"/>
  <c r="G21" i="17"/>
  <c r="C12" i="20" l="1"/>
  <c r="C13" i="20"/>
  <c r="C11" i="20"/>
  <c r="C9" i="20"/>
  <c r="J10" i="15" l="1"/>
  <c r="J9" i="15"/>
  <c r="J8" i="15"/>
  <c r="J7" i="15"/>
  <c r="C10" i="20" l="1"/>
  <c r="C7" i="20"/>
  <c r="F9" i="14" l="1"/>
  <c r="E8" i="14"/>
  <c r="F8" i="14" s="1"/>
  <c r="V15" i="17" l="1"/>
  <c r="W15" i="17" s="1"/>
  <c r="V20" i="17"/>
  <c r="W20" i="17" s="1"/>
  <c r="V13" i="17"/>
  <c r="W13" i="17" s="1"/>
  <c r="V21" i="17"/>
  <c r="D12" i="20" s="1"/>
  <c r="E12" i="20" s="1"/>
  <c r="F12" i="20" s="1"/>
  <c r="V19" i="17"/>
  <c r="W19" i="17" l="1"/>
  <c r="D11" i="20"/>
  <c r="W21" i="17"/>
  <c r="X21" i="17" s="1"/>
  <c r="X19" i="17"/>
  <c r="X13" i="17"/>
  <c r="X20" i="17"/>
  <c r="X15" i="17"/>
  <c r="V14" i="17"/>
  <c r="V18" i="17"/>
  <c r="W18" i="17" s="1"/>
  <c r="V11" i="17"/>
  <c r="W11" i="17" s="1"/>
  <c r="V16" i="17"/>
  <c r="W16" i="17" s="1"/>
  <c r="V17" i="17"/>
  <c r="W17" i="17" s="1"/>
  <c r="V10" i="17"/>
  <c r="W10" i="17" l="1"/>
  <c r="D13" i="20"/>
  <c r="E13" i="20" s="1"/>
  <c r="F13" i="20" s="1"/>
  <c r="W14" i="17"/>
  <c r="X14" i="17" s="1"/>
  <c r="E11" i="20"/>
  <c r="F11" i="20" s="1"/>
  <c r="X11" i="17"/>
  <c r="X18" i="17"/>
  <c r="X10" i="17"/>
  <c r="X17" i="17"/>
  <c r="X16" i="17"/>
  <c r="V12" i="17"/>
  <c r="D9" i="20" s="1"/>
  <c r="E9" i="20" s="1"/>
  <c r="F9" i="20" s="1"/>
  <c r="W12" i="17" l="1"/>
  <c r="X12" i="17" s="1"/>
  <c r="D10" i="20"/>
  <c r="E10" i="20" s="1"/>
  <c r="F10" i="20" s="1"/>
  <c r="D7" i="20"/>
  <c r="E7" i="20" s="1"/>
  <c r="AA18" i="17" l="1"/>
  <c r="Z18" i="17"/>
  <c r="AD3" i="17" l="1"/>
  <c r="F7" i="20"/>
  <c r="K9" i="17"/>
  <c r="U9" i="17" l="1"/>
  <c r="AK3" i="6"/>
  <c r="J7" i="20" l="1"/>
  <c r="C8" i="20"/>
  <c r="J13" i="20"/>
  <c r="AE3" i="17"/>
  <c r="C6" i="20"/>
  <c r="J6" i="20"/>
  <c r="V9" i="17"/>
  <c r="W9" i="17" l="1"/>
  <c r="D8" i="20"/>
  <c r="E8" i="20" s="1"/>
  <c r="D6" i="20"/>
  <c r="F8" i="20" l="1"/>
  <c r="E6" i="20"/>
  <c r="F6" i="20" s="1"/>
  <c r="X9" i="17"/>
</calcChain>
</file>

<file path=xl/sharedStrings.xml><?xml version="1.0" encoding="utf-8"?>
<sst xmlns="http://schemas.openxmlformats.org/spreadsheetml/2006/main" count="2120" uniqueCount="619">
  <si>
    <t>FRO105-631-2 - VERSIÓN 2 MATRIZ DEL SISTEMA DE ADMINISTRACIÓN DE RIESGOS DE LA/FT/FPADM</t>
  </si>
  <si>
    <t>Procesos/Áreas de Práctica</t>
  </si>
  <si>
    <t>Código proceso</t>
  </si>
  <si>
    <t>Subproceso</t>
  </si>
  <si>
    <t>Código subproceso</t>
  </si>
  <si>
    <t>Factores de Riesgo</t>
  </si>
  <si>
    <t>Código Factor</t>
  </si>
  <si>
    <t>Control Disciplinario</t>
  </si>
  <si>
    <t>LAFT1</t>
  </si>
  <si>
    <t>Subgerencia Comercial y Gestión de Comunicaciones</t>
  </si>
  <si>
    <t>LAFT22</t>
  </si>
  <si>
    <t>Productos y/o servicios</t>
  </si>
  <si>
    <t>FAC1</t>
  </si>
  <si>
    <t>CPI</t>
  </si>
  <si>
    <t>Gestión Financiera y Contable</t>
  </si>
  <si>
    <t>LAFT2</t>
  </si>
  <si>
    <t>Gestión de Ingresos y Gestión de Esgresos</t>
  </si>
  <si>
    <t>Canales comerciales y/o transaccionales</t>
  </si>
  <si>
    <t>FAC2</t>
  </si>
  <si>
    <t>P</t>
  </si>
  <si>
    <t>Evaluación Independiente y Control a la Gestión</t>
  </si>
  <si>
    <t>LAFT3</t>
  </si>
  <si>
    <t>Identificación y Análisis de Señales de Alerta, Operaciones Inusuales, Operaciones Sospechosas y Reportes Complementarios</t>
  </si>
  <si>
    <t>LAFT15</t>
  </si>
  <si>
    <t>Servidores Públicos, Contratistas y Contrapartes</t>
  </si>
  <si>
    <t>FAC3</t>
  </si>
  <si>
    <t>C</t>
  </si>
  <si>
    <t>Atención y Servicio al Cliente</t>
  </si>
  <si>
    <t>LAFT4</t>
  </si>
  <si>
    <t>Atención a Solicitudes y Requerimientos de Información por Parte de Autoridades Competentes y Entes Externos.</t>
  </si>
  <si>
    <t>Servidores Públicos y/o Contratistas</t>
  </si>
  <si>
    <t>FAC4</t>
  </si>
  <si>
    <t>J</t>
  </si>
  <si>
    <t xml:space="preserve">Explotación de Juegos de Suerte y Azar JSA </t>
  </si>
  <si>
    <t>LAFT5</t>
  </si>
  <si>
    <t>Gestión de Cartera</t>
  </si>
  <si>
    <t>LAFT14</t>
  </si>
  <si>
    <t>Clientes</t>
  </si>
  <si>
    <t>FAC5</t>
  </si>
  <si>
    <t>Gestión de Bienes y Servicios</t>
  </si>
  <si>
    <t>LAFT6</t>
  </si>
  <si>
    <t>Atención a Solicitudes, Peticiones, Quejas y Reclamos y Administración de Comunicaciones Recibidas Oficiales</t>
  </si>
  <si>
    <t>LAFT21</t>
  </si>
  <si>
    <t>Distribuidores y Gestores</t>
  </si>
  <si>
    <t>FAC6</t>
  </si>
  <si>
    <t>Gestión de Comunicaciones</t>
  </si>
  <si>
    <t>LAFT7</t>
  </si>
  <si>
    <t>Vinculación PEP´S y/o Alto Riesgo y Debida Diligencia Ampliada</t>
  </si>
  <si>
    <t>Concesionario</t>
  </si>
  <si>
    <t>FAC7</t>
  </si>
  <si>
    <t>Gestión de Talento Humano</t>
  </si>
  <si>
    <t>LAFT8</t>
  </si>
  <si>
    <t>Contrapartes</t>
  </si>
  <si>
    <t>FAC8</t>
  </si>
  <si>
    <t>Gestión Documental</t>
  </si>
  <si>
    <t>LAFT9</t>
  </si>
  <si>
    <t>Gestión de las Tecnologías y la Información</t>
  </si>
  <si>
    <t>LAFT12</t>
  </si>
  <si>
    <t>Control Inspección y Fiscalización</t>
  </si>
  <si>
    <t>LAFT10</t>
  </si>
  <si>
    <t>Administración de Usuarios</t>
  </si>
  <si>
    <t>Gestión Jurídica</t>
  </si>
  <si>
    <t>LAFT11</t>
  </si>
  <si>
    <t>Contratación por Invitación Abierta, Directa, Privada, Licitación Pública, entre otras modalidades de contratación</t>
  </si>
  <si>
    <t>Transversal a Todas las Áreas y/o Unidades</t>
  </si>
  <si>
    <t>LAFT18</t>
  </si>
  <si>
    <t>Planeación y Direccionamiento Estratégico</t>
  </si>
  <si>
    <t>LAFT13</t>
  </si>
  <si>
    <t>Gestión de Recaudo</t>
  </si>
  <si>
    <t>Cumplimiento Gestión de LA/FT/FPADM</t>
  </si>
  <si>
    <t>Gestión del SGAS (Sistema de Gestión Antisoborno)</t>
  </si>
  <si>
    <t>LAFT16</t>
  </si>
  <si>
    <t>Protección de Datos Personales</t>
  </si>
  <si>
    <t>LAFT17</t>
  </si>
  <si>
    <t>Explotación de JSA - Control Inspección y Fiscalización - Gestión de Talento Humano - Gestión de Bienes y Servicios</t>
  </si>
  <si>
    <t>LAFT19</t>
  </si>
  <si>
    <t>Explotación de JSA - Control Inspección y Fiscalización</t>
  </si>
  <si>
    <t>LAFT20</t>
  </si>
  <si>
    <t>Gestión Documental y Atención de Servicio al Cliente</t>
  </si>
  <si>
    <t>Tipo riesgo</t>
  </si>
  <si>
    <t>Código riesgo</t>
  </si>
  <si>
    <t>Riesgo de Contagio</t>
  </si>
  <si>
    <t>RC</t>
  </si>
  <si>
    <t>Riesgo Legal</t>
  </si>
  <si>
    <t>RL</t>
  </si>
  <si>
    <t>Riesgo Reputacional</t>
  </si>
  <si>
    <t>RR</t>
  </si>
  <si>
    <t>Riesgo Operativo</t>
  </si>
  <si>
    <t>RO</t>
  </si>
  <si>
    <t>Nivel de riesgo</t>
  </si>
  <si>
    <t>Tratamiento</t>
  </si>
  <si>
    <t>BAJO</t>
  </si>
  <si>
    <t>Tratar</t>
  </si>
  <si>
    <t>MEDIO</t>
  </si>
  <si>
    <t>ALTO</t>
  </si>
  <si>
    <t>Prevenir/Tratar</t>
  </si>
  <si>
    <t>EXTREMO</t>
  </si>
  <si>
    <t>Prevenir/Tratar/Evitar</t>
  </si>
  <si>
    <t>Estado de acciones</t>
  </si>
  <si>
    <t>Planeada</t>
  </si>
  <si>
    <t>En Ejecución</t>
  </si>
  <si>
    <t>Terminada</t>
  </si>
  <si>
    <t>VALORACIÓN CONSECUENCIA (IMPACTO)</t>
  </si>
  <si>
    <t>PROBABILIDAD</t>
  </si>
  <si>
    <t>Valor cuantitativo</t>
  </si>
  <si>
    <t>Valor Cualitativo</t>
  </si>
  <si>
    <t>Descripción en Términos de Riesgo Legal</t>
  </si>
  <si>
    <t>Descripción en Términos de Riesgo de Contagio</t>
  </si>
  <si>
    <t>Descripción en Términos de Riesgo Operacional</t>
  </si>
  <si>
    <t>Descripción en términos de Riesgo Reputacional</t>
  </si>
  <si>
    <t>Valor cualitativo</t>
  </si>
  <si>
    <t>Descripción</t>
  </si>
  <si>
    <t>Muy Baja</t>
  </si>
  <si>
    <t>La situación nunca ha ocurrido o difícilmente ocurrirá. No
obstante, el riesgo es concebible, no es esperable su
materialización.</t>
  </si>
  <si>
    <t>Leve</t>
  </si>
  <si>
    <t>Recomendación de autoridad competente.</t>
  </si>
  <si>
    <t>Efectos legales y reputacionales derivados de la relación con un contratista o contraparte involucrado en alguna actividad de LA/FT/FPADM.</t>
  </si>
  <si>
    <t>Fallas en procesos, personas, tecnología e infraestructura que no representan pérdida económica o interrupción de la operación por
menos de un (1) día.</t>
  </si>
  <si>
    <t xml:space="preserve">El riesgo afecta la imagen de
algún área y/o unidad de la
Entidad.
</t>
  </si>
  <si>
    <t>Baja</t>
  </si>
  <si>
    <t xml:space="preserve">La situación tiene una ocurrencia esporádica. La
materialización es esperable en un nivel mínimo.
</t>
  </si>
  <si>
    <t>Menor</t>
  </si>
  <si>
    <t>Plan de ajuste valor implementación de las actividades.</t>
  </si>
  <si>
    <t>Efectos legales y reputacionales derivados de la relación con un beneficiario final involucrado en alguna actividad de LA/FT/FPADM.</t>
  </si>
  <si>
    <t>Fallas en procesos, personas, tecnología e infraestructura que representan pérdida económica o interrupción de la operación por
un (1) día completo.</t>
  </si>
  <si>
    <t xml:space="preserve">El riesgo afecta la imagen de la
Entidad internamente, de
conocimiento general, de Junta
Directiva, contratistas y/o
proveedores.
</t>
  </si>
  <si>
    <t>Media</t>
  </si>
  <si>
    <t xml:space="preserve">La situación tiene una ocurrencia eventual. La materialización
del riesgo puede darse alguna vez.
</t>
  </si>
  <si>
    <t>Moderado</t>
  </si>
  <si>
    <t>Orden administrativa y/o procesos judiciales sin fallo por parte de jueces.</t>
  </si>
  <si>
    <t>Efectos legales y reputacionales derivados de la relación con un cliente involucrado en alguna actividad de LA/FT/FPADM.</t>
  </si>
  <si>
    <t xml:space="preserve">Fallas en procesos, personas, tecnología e infraestructura que representan pérdida económica o interrupción de la operación
mayor a un (1) día y menor a
dos (2) días.
</t>
  </si>
  <si>
    <t>El riesgo afecta la imagen de la
Entidad, con algunos usuarios de
relevancia frente al logro de los
objetivos.</t>
  </si>
  <si>
    <t>Alta</t>
  </si>
  <si>
    <t xml:space="preserve">La situación tiene ocurrencia frecuente pero no continua. La
materialización del riesgo puede darse algunas veces en un
periodo.
</t>
  </si>
  <si>
    <t>Mayor</t>
  </si>
  <si>
    <t>Sanción de multa por organismo nacional, suspensión parcial de actividades autorizadas, remoción de administradores o multa de organismos nacionales y/o procesos judiciales con fallo por parte de jueces en contra.</t>
  </si>
  <si>
    <t>Efectos legales y reputacionales derivados de la relación con un contratista y/o servidor público involucrado en alguna actividad de LA/FT/FPADM.</t>
  </si>
  <si>
    <t xml:space="preserve">Fallas en procesos, personas, tecnología e infraestructura que representan pérdida económica o interrupción de la operación por
dos (2) días completos.
</t>
  </si>
  <si>
    <t>El riesgo afecta la imagen de la
Entidad, con efecto publicitario
sostenido a nivel de sector
administrativo, nivel
departamental o municipal.</t>
  </si>
  <si>
    <t>Muy Alta</t>
  </si>
  <si>
    <t>La situación tiene ocurrencia frecuente y continua. La
materialización del riesgo ocurre con frecuencia o de forma
permanente.</t>
  </si>
  <si>
    <t>Catastrófico</t>
  </si>
  <si>
    <t>Clausura de la entidad, bloqueo económico o multas de organismos nacionales.</t>
  </si>
  <si>
    <t>Efectos legales y reputacionales derivados de la relación con un Miembros de Junta Directiva y/o Representantes Legales involucrados en alguna actividad de LA/FT/FPADM.</t>
  </si>
  <si>
    <t>Fallas en procesos, personas, tecnología e infraestructura que representan pérdida económica o interrupción de la operación por
más de dos (2) días completos.</t>
  </si>
  <si>
    <t xml:space="preserve">El riesgo afecta la imagen de la
Entidad, con efecto publicitario
sostenido a nivel nacional, con
efecto publicitario sostenido a
nivel país.
</t>
  </si>
  <si>
    <t>NIVEL DE RIESGO</t>
  </si>
  <si>
    <t>SCORE</t>
  </si>
  <si>
    <t>MEDIDA A TOMAR</t>
  </si>
  <si>
    <t>COD</t>
  </si>
  <si>
    <t>CONSECUENCIAS</t>
  </si>
  <si>
    <t>Los riesgos en este nivel representan una baja exposición LA/FT/FPADM para la Lotería, estos no tendrán tratamiento, se actualizarán y verificarán por lo menos una vez cada año de acuerdo con las medidas simplificadas.</t>
  </si>
  <si>
    <t>1234</t>
  </si>
  <si>
    <t>X</t>
  </si>
  <si>
    <t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t>
  </si>
  <si>
    <t>1204</t>
  </si>
  <si>
    <t>1034</t>
  </si>
  <si>
    <t>1230</t>
  </si>
  <si>
    <t>0234</t>
  </si>
  <si>
    <t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t>
  </si>
  <si>
    <t>0204</t>
  </si>
  <si>
    <t xml:space="preserve">Los riesgos en este nivel representan una mediana exposición LA/FT/FPADM para la Lotería que debe ser tratada por el propietario del riesgo en el mediano plazo y se deben aplicar medidas satisfactorias para la mitigación del mismo y se actualizarán y/o verificarán cada 12 meses. </t>
  </si>
  <si>
    <t>0004</t>
  </si>
  <si>
    <t xml:space="preserve">
3. Deterioro de los procesos operativos.
</t>
  </si>
  <si>
    <t>0034</t>
  </si>
  <si>
    <t xml:space="preserve">1. Sanciones por parte del supervisor, regulador y/o entes de control -Apertura de procesos disciplinarios, judiciales y/o legales.
2. Impacto negativo en la imagen institucional y/o pérdida de reputación.
</t>
  </si>
  <si>
    <t>0000</t>
  </si>
  <si>
    <t>Incluir riesgo inherente</t>
  </si>
  <si>
    <t>0230</t>
  </si>
  <si>
    <t xml:space="preserve">1. Sanciones por parte del supervisor, regulador y/o entes de control -Apertura de procesos disciplinarios, judiciales y/o legales.
2. Impacto negativo en la imagen institucional y/o pérdida de reputación.
</t>
  </si>
  <si>
    <t>Los riesgos en este nivel representan una alta exposición LA/FT/FPADM para la Lotería, se deben aplicar medidas de debida diligencia ordinarias o intensificadas según su criticidad para prevenir o tratar en el corto plazo para asegurar una disminución en su nivel y se actualizarán y/o verificarán por mínimo anualmente.</t>
  </si>
  <si>
    <t>Los riesgos en este nivel representan una alta exposición LA/FT/FPADM para la Lotería, se deben aplicar medidas de debida diligencia intensificadas y  deben ser tratados de forma inmediata  para asegurar una disminución en su nivel o evitar tenerlos, se deben monitorear de manera permanente y se actualizarán y/o verificarán por mínimo semestralmente.</t>
  </si>
  <si>
    <t>Procesos/Áreas de práctica</t>
  </si>
  <si>
    <t>No. Riesgo</t>
  </si>
  <si>
    <t>Código evento</t>
  </si>
  <si>
    <t>Factor de riesgo</t>
  </si>
  <si>
    <t>Evento de riesgo</t>
  </si>
  <si>
    <t>Contabilidad</t>
  </si>
  <si>
    <t>TNS01</t>
  </si>
  <si>
    <t>Productos y/o servicos</t>
  </si>
  <si>
    <t>Posibilidad de utilización de un producto y/o servicio prestado por la Compañía para realizar operaciones relacionadas con LA/FT/FPADM.</t>
  </si>
  <si>
    <t>Revisión por la Dirección</t>
  </si>
  <si>
    <t xml:space="preserve">Posibilidad de tener relaciones contractuales, legales o comerciales con clientes relacionados con delitos LA/FT/FPADM. </t>
  </si>
  <si>
    <t>Proveedores</t>
  </si>
  <si>
    <t>Posibilidad de tener relaciones contractuales, legales o comerciales con proveedores relacionados con delitos LA/FT/FPADM.</t>
  </si>
  <si>
    <t>Colaboradores</t>
  </si>
  <si>
    <t xml:space="preserve">Posibilidad de tener relaciones contractuales, legales o comerciales con colaboradores relacionados con delitos LA/FT/FPADM. </t>
  </si>
  <si>
    <t>Accionistas</t>
  </si>
  <si>
    <t>Posibilidad de tener relaciones contractuales, legales o comerciales con accionistas relacionados con delitos LA/FT/FPADM.</t>
  </si>
  <si>
    <t>TNS02</t>
  </si>
  <si>
    <t>Posibilidad de utilización de un canal comercial o transaccional de la Compañía para realizar operaciones relacionadas con LA/FT/FPADM.</t>
  </si>
  <si>
    <t>Jurisdicciones</t>
  </si>
  <si>
    <t>Posibilidad de tener negocios en jurisdicciones de alto riesgo LA/FT/FPADM.</t>
  </si>
  <si>
    <t>TNS04</t>
  </si>
  <si>
    <t>Posibilidad de entregar información incompleta o errónea al área encargada de responder un requerimiento sobre LA/FT/FPADM realizado por un ente de control. (sobre accionistas)</t>
  </si>
  <si>
    <t>TNS19</t>
  </si>
  <si>
    <t>Pago de facturas a un tercero sin verificar listas vinculantes y de control LA/FT/FPADM.</t>
  </si>
  <si>
    <t>MATRIZ LA/FT/FPADM LOTERÍA DE BOGOTÁ</t>
  </si>
  <si>
    <t>CODIGO:
FRO105-631-2</t>
  </si>
  <si>
    <t>RIESGO INHERENTE</t>
  </si>
  <si>
    <t>Probabilidad</t>
  </si>
  <si>
    <t>Valoración de la Consecuencia</t>
  </si>
  <si>
    <t>VALORACION DEL RIESGO</t>
  </si>
  <si>
    <t>Promedio</t>
  </si>
  <si>
    <t>IDENTIFICACION DEL RIESGO</t>
  </si>
  <si>
    <t>ANALISIS DEL RIESGO</t>
  </si>
  <si>
    <t>EVALUACION DEL RIESGO</t>
  </si>
  <si>
    <t>Segmento</t>
  </si>
  <si>
    <t>Procesos</t>
  </si>
  <si>
    <t>Riesgo asociado</t>
  </si>
  <si>
    <t>Causa</t>
  </si>
  <si>
    <t>Consecuencias</t>
  </si>
  <si>
    <t>cantidad x</t>
  </si>
  <si>
    <t>CALCULOS</t>
  </si>
  <si>
    <t>Valoración consecuencia riesgos asociados</t>
  </si>
  <si>
    <t>Impacto total</t>
  </si>
  <si>
    <t>Valoración riesgo inherente</t>
  </si>
  <si>
    <t>Nivel del riesgo (Riesgo inherente)</t>
  </si>
  <si>
    <t>LB01</t>
  </si>
  <si>
    <t>Posibilidad de entregar información incompleta o errónea al área encargada de responder un requerimiento sobre LA/FT/FPADM realizado por un ente de control. (sobre todas las contrapartes)</t>
  </si>
  <si>
    <r>
      <rPr>
        <b/>
        <sz val="10"/>
        <rFont val="Calibri"/>
        <family val="2"/>
        <scheme val="minor"/>
      </rPr>
      <t>1.</t>
    </r>
    <r>
      <rPr>
        <sz val="10"/>
        <rFont val="Calibri"/>
        <family val="2"/>
        <scheme val="minor"/>
      </rPr>
      <t xml:space="preserve"> Desconocimiento del procedimiento PRO105-497 Atención a Solicitudes de Información a Autoridades.
</t>
    </r>
    <r>
      <rPr>
        <b/>
        <sz val="10"/>
        <rFont val="Calibri"/>
        <family val="2"/>
        <scheme val="minor"/>
      </rPr>
      <t>2.</t>
    </r>
    <r>
      <rPr>
        <sz val="10"/>
        <rFont val="Calibri"/>
        <family val="2"/>
        <scheme val="minor"/>
      </rPr>
      <t xml:space="preserve"> Pérdida de la documentación y/o información custodiada para responder requerimientos de LA/FT/FPADM para el CNJSA, SNS, UIAF y demás entes de control.
</t>
    </r>
    <r>
      <rPr>
        <b/>
        <sz val="10"/>
        <rFont val="Calibri"/>
        <family val="2"/>
        <scheme val="minor"/>
      </rPr>
      <t>3.</t>
    </r>
    <r>
      <rPr>
        <sz val="10"/>
        <rFont val="Calibri"/>
        <family val="2"/>
        <scheme val="minor"/>
      </rPr>
      <t xml:space="preserve"> Omisión por parte de los procesos en el envío de la información solicitada en los tiempos requeridos,  para responder requerimientos de LA/FT/FPADM para el CNJSA, SNS, UIAF y demás entes de control.</t>
    </r>
  </si>
  <si>
    <r>
      <rPr>
        <b/>
        <sz val="10"/>
        <color theme="1"/>
        <rFont val="Calibri"/>
        <family val="2"/>
        <scheme val="minor"/>
      </rPr>
      <t>1.</t>
    </r>
    <r>
      <rPr>
        <sz val="10"/>
        <color theme="1"/>
        <rFont val="Calibri"/>
        <family val="2"/>
        <scheme val="minor"/>
      </rPr>
      <t xml:space="preserve"> Sanciones por parte del supervisor, regulador y/o entes de control -Apertura de procesos disciplinarios, judiciales y/o legales.
</t>
    </r>
    <r>
      <rPr>
        <b/>
        <sz val="10"/>
        <color theme="1"/>
        <rFont val="Calibri"/>
        <family val="2"/>
        <scheme val="minor"/>
      </rPr>
      <t>2.</t>
    </r>
    <r>
      <rPr>
        <sz val="10"/>
        <color theme="1"/>
        <rFont val="Calibri"/>
        <family val="2"/>
        <scheme val="minor"/>
      </rPr>
      <t xml:space="preserve"> Vencimiento de términos de respuesta.
</t>
    </r>
    <r>
      <rPr>
        <b/>
        <sz val="10"/>
        <color theme="1"/>
        <rFont val="Calibri"/>
        <family val="2"/>
        <scheme val="minor"/>
      </rPr>
      <t xml:space="preserve">3. </t>
    </r>
    <r>
      <rPr>
        <sz val="10"/>
        <color theme="1"/>
        <rFont val="Calibri"/>
        <family val="2"/>
        <scheme val="minor"/>
      </rPr>
      <t xml:space="preserve">Impacto negativo en la imagen institucional y/o pérdida de reputación.
</t>
    </r>
    <r>
      <rPr>
        <b/>
        <sz val="10"/>
        <color theme="1"/>
        <rFont val="Calibri"/>
        <family val="2"/>
        <scheme val="minor"/>
      </rPr>
      <t>4.</t>
    </r>
    <r>
      <rPr>
        <sz val="10"/>
        <color theme="1"/>
        <rFont val="Calibri"/>
        <family val="2"/>
        <scheme val="minor"/>
      </rPr>
      <t xml:space="preserve"> Deterioro de los procesos operativos.
</t>
    </r>
    <r>
      <rPr>
        <b/>
        <sz val="10"/>
        <color theme="1"/>
        <rFont val="Calibri"/>
        <family val="2"/>
        <scheme val="minor"/>
      </rPr>
      <t/>
    </r>
  </si>
  <si>
    <t>LB02</t>
  </si>
  <si>
    <t>Posibilidad de tener o mantener relaciones contractuales, legales, comerciales, alianzas o convenios con contrapartes relacionadas con delitos de LA/FT/FPADM y/o que se encuentren en listas vinculantes y de control de LA/FT/FPADM periodicas o masivas.</t>
  </si>
  <si>
    <r>
      <t xml:space="preserve">
</t>
    </r>
    <r>
      <rPr>
        <b/>
        <sz val="10"/>
        <color theme="1"/>
        <rFont val="Calibri"/>
        <family val="2"/>
        <scheme val="minor"/>
      </rPr>
      <t>1.</t>
    </r>
    <r>
      <rPr>
        <sz val="10"/>
        <color theme="1"/>
        <rFont val="Calibri"/>
        <family val="2"/>
        <scheme val="minor"/>
      </rPr>
      <t xml:space="preserve"> No realizar consulta en listas vinculantes y de control (listas restrictivas) al momento de la creación del vínculo con la contraparte.
</t>
    </r>
    <r>
      <rPr>
        <b/>
        <sz val="10"/>
        <color theme="1"/>
        <rFont val="Calibri"/>
        <family val="2"/>
        <scheme val="minor"/>
      </rPr>
      <t>2</t>
    </r>
    <r>
      <rPr>
        <sz val="10"/>
        <color theme="1"/>
        <rFont val="Calibri"/>
        <family val="2"/>
        <scheme val="minor"/>
      </rPr>
      <t xml:space="preserve">. No realizar consultas masivas en listas vinculantes y de control (listas restrictivas) de manera periódica a las contrapartes vinculadas.
</t>
    </r>
    <r>
      <rPr>
        <b/>
        <sz val="10"/>
        <color theme="1"/>
        <rFont val="Calibri"/>
        <family val="2"/>
        <scheme val="minor"/>
      </rPr>
      <t>3.</t>
    </r>
    <r>
      <rPr>
        <sz val="10"/>
        <color theme="1"/>
        <rFont val="Calibri"/>
        <family val="2"/>
        <scheme val="minor"/>
      </rPr>
      <t xml:space="preserve"> No aplicar los lineamientos dados en el manual de contratación de la Entidad
</t>
    </r>
  </si>
  <si>
    <r>
      <rPr>
        <b/>
        <sz val="10"/>
        <color theme="1"/>
        <rFont val="Calibri"/>
        <family val="2"/>
        <scheme val="minor"/>
      </rPr>
      <t>1.</t>
    </r>
    <r>
      <rPr>
        <sz val="10"/>
        <color theme="1"/>
        <rFont val="Calibri"/>
        <family val="2"/>
        <scheme val="minor"/>
      </rPr>
      <t xml:space="preserve"> Sanciones por parte del supervisor, regulador y/o entes de control -Apertura de procesos disciplinarios, judiciales y/o legales.
</t>
    </r>
    <r>
      <rPr>
        <b/>
        <sz val="10"/>
        <color theme="1"/>
        <rFont val="Calibri"/>
        <family val="2"/>
        <scheme val="minor"/>
      </rPr>
      <t xml:space="preserve">2. </t>
    </r>
    <r>
      <rPr>
        <sz val="10"/>
        <color theme="1"/>
        <rFont val="Calibri"/>
        <family val="2"/>
        <scheme val="minor"/>
      </rPr>
      <t xml:space="preserve">Impacto negativo en la imagen institucional y/o pérdida de reputación.
</t>
    </r>
    <r>
      <rPr>
        <b/>
        <sz val="10"/>
        <color theme="1"/>
        <rFont val="Calibri"/>
        <family val="2"/>
        <scheme val="minor"/>
      </rPr>
      <t>3.</t>
    </r>
    <r>
      <rPr>
        <sz val="10"/>
        <color theme="1"/>
        <rFont val="Calibri"/>
        <family val="2"/>
        <scheme val="minor"/>
      </rPr>
      <t xml:space="preserve"> Deterioro de los procesos operativos.
</t>
    </r>
    <r>
      <rPr>
        <b/>
        <sz val="10"/>
        <color theme="1"/>
        <rFont val="Calibri"/>
        <family val="2"/>
        <scheme val="minor"/>
      </rPr>
      <t>4.</t>
    </r>
    <r>
      <rPr>
        <sz val="10"/>
        <color theme="1"/>
        <rFont val="Calibri"/>
        <family val="2"/>
        <scheme val="minor"/>
      </rPr>
      <t xml:space="preserve"> Pérdida de mercado de la Lotería de Bogotá.
</t>
    </r>
    <r>
      <rPr>
        <b/>
        <sz val="10"/>
        <color theme="1"/>
        <rFont val="Calibri"/>
        <family val="2"/>
        <scheme val="minor"/>
      </rPr>
      <t/>
    </r>
  </si>
  <si>
    <t>LB03</t>
  </si>
  <si>
    <t>Posibilidad de utilización de un canal comercial o transaccional de la Lotería para realizar operaciones relacionadas con LA/FT/FPADM.</t>
  </si>
  <si>
    <r>
      <rPr>
        <b/>
        <sz val="10"/>
        <color theme="1"/>
        <rFont val="Calibri"/>
        <family val="2"/>
        <scheme val="minor"/>
      </rPr>
      <t>1.</t>
    </r>
    <r>
      <rPr>
        <sz val="10"/>
        <color theme="1"/>
        <rFont val="Calibri"/>
        <family val="2"/>
        <scheme val="minor"/>
      </rPr>
      <t xml:space="preserve"> No realizar consulta en listas vinculantes y de control (listas restrictivas) al momento de la creación del vínculo con la contraparte.
</t>
    </r>
    <r>
      <rPr>
        <b/>
        <sz val="10"/>
        <color theme="1"/>
        <rFont val="Calibri"/>
        <family val="2"/>
        <scheme val="minor"/>
      </rPr>
      <t>2.</t>
    </r>
    <r>
      <rPr>
        <sz val="10"/>
        <color theme="1"/>
        <rFont val="Calibri"/>
        <family val="2"/>
        <scheme val="minor"/>
      </rPr>
      <t xml:space="preserve"> No realizar consultas masivas en listas vinculantes y de control (listas restrictivas) de manera periódica a las contrapartes vinculadas</t>
    </r>
    <r>
      <rPr>
        <b/>
        <sz val="10"/>
        <color theme="1"/>
        <rFont val="Calibri"/>
        <family val="2"/>
        <scheme val="minor"/>
      </rPr>
      <t xml:space="preserve">
3. </t>
    </r>
    <r>
      <rPr>
        <sz val="10"/>
        <color theme="1"/>
        <rFont val="Calibri"/>
        <family val="2"/>
        <scheme val="minor"/>
      </rPr>
      <t xml:space="preserve">Recibir transacciones de personas sin vinculos con la Lotería de Bogotá y que esas personas soliciten el reintegro del valor por un aparente error de giro hacia la entidad.
</t>
    </r>
    <r>
      <rPr>
        <b/>
        <sz val="10"/>
        <color theme="1"/>
        <rFont val="Calibri"/>
        <family val="2"/>
        <scheme val="minor"/>
      </rPr>
      <t xml:space="preserve">4. </t>
    </r>
    <r>
      <rPr>
        <sz val="10"/>
        <color theme="1"/>
        <rFont val="Calibri"/>
        <family val="2"/>
        <scheme val="minor"/>
      </rPr>
      <t>Omisión o falla en la verificación de las operaciones realizadas a través de los canales comerciales y/o transaccionales.</t>
    </r>
  </si>
  <si>
    <r>
      <rPr>
        <b/>
        <sz val="10"/>
        <color theme="1"/>
        <rFont val="Calibri"/>
        <family val="2"/>
        <scheme val="minor"/>
      </rPr>
      <t>1.</t>
    </r>
    <r>
      <rPr>
        <sz val="10"/>
        <color theme="1"/>
        <rFont val="Calibri"/>
        <family val="2"/>
        <scheme val="minor"/>
      </rPr>
      <t xml:space="preserve"> Sanciones por parte del supervisor, regulador y/o entes de control -Apertura de procesos disciplinarios, judiciales y/o legales.
</t>
    </r>
    <r>
      <rPr>
        <b/>
        <sz val="10"/>
        <color theme="1"/>
        <rFont val="Calibri"/>
        <family val="2"/>
        <scheme val="minor"/>
      </rPr>
      <t xml:space="preserve">2. </t>
    </r>
    <r>
      <rPr>
        <sz val="10"/>
        <color theme="1"/>
        <rFont val="Calibri"/>
        <family val="2"/>
        <scheme val="minor"/>
      </rPr>
      <t xml:space="preserve">Impacto negativo en la imagen institucional y/o pérdida de reputación.
</t>
    </r>
    <r>
      <rPr>
        <b/>
        <sz val="10"/>
        <color theme="1"/>
        <rFont val="Calibri"/>
        <family val="2"/>
        <scheme val="minor"/>
      </rPr>
      <t>3.</t>
    </r>
    <r>
      <rPr>
        <sz val="10"/>
        <color theme="1"/>
        <rFont val="Calibri"/>
        <family val="2"/>
        <scheme val="minor"/>
      </rPr>
      <t xml:space="preserve"> Deterioro de los procesos operativos.
</t>
    </r>
    <r>
      <rPr>
        <b/>
        <sz val="10"/>
        <color theme="1"/>
        <rFont val="Calibri"/>
        <family val="2"/>
        <scheme val="minor"/>
      </rPr>
      <t>4.</t>
    </r>
    <r>
      <rPr>
        <sz val="10"/>
        <color theme="1"/>
        <rFont val="Calibri"/>
        <family val="2"/>
        <scheme val="minor"/>
      </rPr>
      <t xml:space="preserve"> Pérdida de mercado de la Lotería de Bogotá.
</t>
    </r>
  </si>
  <si>
    <t>LB04</t>
  </si>
  <si>
    <t>Posibilidad de recuperar valores en la gestión de cobro sin el conocimiento del origen de los fondos.</t>
  </si>
  <si>
    <r>
      <rPr>
        <b/>
        <sz val="10"/>
        <color theme="1"/>
        <rFont val="Calibri"/>
        <family val="2"/>
        <scheme val="minor"/>
      </rPr>
      <t xml:space="preserve">1. </t>
    </r>
    <r>
      <rPr>
        <sz val="10"/>
        <color theme="1"/>
        <rFont val="Calibri"/>
        <family val="2"/>
        <scheme val="minor"/>
      </rPr>
      <t>Omisión o falla en la verificación del origen de los recursos con los que el la contraparte paga un producto y/o servicio.</t>
    </r>
  </si>
  <si>
    <r>
      <rPr>
        <b/>
        <sz val="10"/>
        <color theme="1"/>
        <rFont val="Calibri"/>
        <family val="2"/>
        <scheme val="minor"/>
      </rPr>
      <t>1.</t>
    </r>
    <r>
      <rPr>
        <sz val="10"/>
        <color theme="1"/>
        <rFont val="Calibri"/>
        <family val="2"/>
        <scheme val="minor"/>
      </rPr>
      <t xml:space="preserve"> Sanciones por parte del supervisor, regulador y/o entes de control -Apertura de procesos disciplinarios, judiciales y/o legales.
</t>
    </r>
    <r>
      <rPr>
        <b/>
        <sz val="10"/>
        <color theme="1"/>
        <rFont val="Calibri"/>
        <family val="2"/>
        <scheme val="minor"/>
      </rPr>
      <t xml:space="preserve">2. </t>
    </r>
    <r>
      <rPr>
        <sz val="10"/>
        <color theme="1"/>
        <rFont val="Calibri"/>
        <family val="2"/>
        <scheme val="minor"/>
      </rPr>
      <t xml:space="preserve">Impacto negativo en la imagen institucional y/o pérdida de reputación.
</t>
    </r>
  </si>
  <si>
    <t>LB05</t>
  </si>
  <si>
    <t>Posibilidad de ofrecimientos de dinero o dádivas a colaboradores de la Lotería para entregar, manipular, extraer, cambiar o transferir información de entidad o de sus clientes a terceros no vinculados a la Entidad con el proposito de realizar operaciones y/o actividades relacionadas con el riesgo LA/FT/FPADM.</t>
  </si>
  <si>
    <r>
      <rPr>
        <b/>
        <sz val="10"/>
        <color theme="1"/>
        <rFont val="Calibri"/>
        <family val="2"/>
        <scheme val="minor"/>
      </rPr>
      <t>1.</t>
    </r>
    <r>
      <rPr>
        <sz val="10"/>
        <color theme="1"/>
        <rFont val="Calibri"/>
        <family val="2"/>
        <scheme val="minor"/>
      </rPr>
      <t xml:space="preserve"> Falta de conocimiento por parte del Servidor Público y/o Contratista en las políticas y el funcionamiento del Sistema de Administración de LA/FT/FPADM.
</t>
    </r>
    <r>
      <rPr>
        <b/>
        <sz val="10"/>
        <color theme="1"/>
        <rFont val="Calibri"/>
        <family val="2"/>
        <scheme val="minor"/>
      </rPr>
      <t xml:space="preserve">2. </t>
    </r>
    <r>
      <rPr>
        <sz val="10"/>
        <color theme="1"/>
        <rFont val="Calibri"/>
        <family val="2"/>
        <scheme val="minor"/>
      </rPr>
      <t>Exponer información confidencial de la Lotería de Bogotá en busca de beneficios o dádivas personales.</t>
    </r>
  </si>
  <si>
    <r>
      <rPr>
        <b/>
        <sz val="10"/>
        <color theme="1"/>
        <rFont val="Calibri"/>
        <family val="2"/>
        <scheme val="minor"/>
      </rPr>
      <t>1.</t>
    </r>
    <r>
      <rPr>
        <sz val="10"/>
        <color theme="1"/>
        <rFont val="Calibri"/>
        <family val="2"/>
        <scheme val="minor"/>
      </rPr>
      <t xml:space="preserve"> Sanciones por parte del supervisor, regulador y/o entes de control -Apertura de procesos disciplinarios, judiciales y/o legales.
</t>
    </r>
    <r>
      <rPr>
        <b/>
        <sz val="10"/>
        <color theme="1"/>
        <rFont val="Calibri"/>
        <family val="2"/>
        <scheme val="minor"/>
      </rPr>
      <t xml:space="preserve">2. </t>
    </r>
    <r>
      <rPr>
        <sz val="10"/>
        <color theme="1"/>
        <rFont val="Calibri"/>
        <family val="2"/>
        <scheme val="minor"/>
      </rPr>
      <t xml:space="preserve">Impacto negativo en la imagen institucional y/o pérdida de reputación.
</t>
    </r>
    <r>
      <rPr>
        <b/>
        <sz val="10"/>
        <color theme="1"/>
        <rFont val="Calibri"/>
        <family val="2"/>
        <scheme val="minor"/>
      </rPr>
      <t>3.</t>
    </r>
    <r>
      <rPr>
        <sz val="10"/>
        <color theme="1"/>
        <rFont val="Calibri"/>
        <family val="2"/>
        <scheme val="minor"/>
      </rPr>
      <t xml:space="preserve"> Deterioro de los procesos operativos.
</t>
    </r>
    <r>
      <rPr>
        <b/>
        <sz val="10"/>
        <color theme="1"/>
        <rFont val="Calibri"/>
        <family val="2"/>
        <scheme val="minor"/>
      </rPr>
      <t>4</t>
    </r>
    <r>
      <rPr>
        <sz val="10"/>
        <color theme="1"/>
        <rFont val="Calibri"/>
        <family val="2"/>
        <scheme val="minor"/>
      </rPr>
      <t xml:space="preserve">. Pérdida de mercado de la Lotería de Bogotá.
</t>
    </r>
    <r>
      <rPr>
        <b/>
        <sz val="10"/>
        <color theme="1"/>
        <rFont val="Calibri"/>
        <family val="2"/>
        <scheme val="minor"/>
      </rPr>
      <t>5.</t>
    </r>
    <r>
      <rPr>
        <sz val="10"/>
        <color theme="1"/>
        <rFont val="Calibri"/>
        <family val="2"/>
        <scheme val="minor"/>
      </rPr>
      <t xml:space="preserve"> Efecto de contagio que afecta a la Lotería de Bogotá por efecto rebote.
</t>
    </r>
    <r>
      <rPr>
        <b/>
        <sz val="10"/>
        <color theme="1"/>
        <rFont val="Calibri"/>
        <family val="2"/>
        <scheme val="minor"/>
      </rPr>
      <t/>
    </r>
  </si>
  <si>
    <t>LB06</t>
  </si>
  <si>
    <t>Posibilidad de tener algún tipo de vínculo contractual con Personas Expuestas Políticamente (PEP) que se puedan aprovechar de su condición para realizar actividades de LA/FT/FPADM. (No es problemático tener esta relación contractual, el problema está en desconocerla)</t>
  </si>
  <si>
    <r>
      <rPr>
        <b/>
        <sz val="10"/>
        <rFont val="Calibri"/>
        <family val="2"/>
        <scheme val="minor"/>
      </rPr>
      <t>1.</t>
    </r>
    <r>
      <rPr>
        <sz val="10"/>
        <rFont val="Calibri"/>
        <family val="2"/>
        <scheme val="minor"/>
      </rPr>
      <t xml:space="preserve"> Falta de conocimiento por parte del Servidor Público y/o Contratista de las condiciones para ser PEP´S.
</t>
    </r>
    <r>
      <rPr>
        <b/>
        <sz val="10"/>
        <rFont val="Calibri"/>
        <family val="2"/>
        <scheme val="minor"/>
      </rPr>
      <t>2.</t>
    </r>
    <r>
      <rPr>
        <sz val="10"/>
        <rFont val="Calibri"/>
        <family val="2"/>
        <scheme val="minor"/>
      </rPr>
      <t xml:space="preserve"> Desconocimiento del  Formato PEP FRO105-546-1 y del procedimiento PRO105-523 Vinculación de Personas PEP´S y/o alto riesgo y la debida diligencia ampliada.</t>
    </r>
  </si>
  <si>
    <r>
      <rPr>
        <b/>
        <sz val="10"/>
        <color theme="1"/>
        <rFont val="Calibri"/>
        <family val="2"/>
        <scheme val="minor"/>
      </rPr>
      <t>1.</t>
    </r>
    <r>
      <rPr>
        <sz val="10"/>
        <color theme="1"/>
        <rFont val="Calibri"/>
        <family val="2"/>
        <scheme val="minor"/>
      </rPr>
      <t xml:space="preserve"> Sanciones por parte del supervisor, regulador y/o entes de control -Apertura de procesos disciplinarios, judiciales y/o legales.
</t>
    </r>
    <r>
      <rPr>
        <b/>
        <sz val="10"/>
        <color theme="1"/>
        <rFont val="Calibri"/>
        <family val="2"/>
        <scheme val="minor"/>
      </rPr>
      <t xml:space="preserve">2. </t>
    </r>
    <r>
      <rPr>
        <sz val="10"/>
        <color theme="1"/>
        <rFont val="Calibri"/>
        <family val="2"/>
        <scheme val="minor"/>
      </rPr>
      <t xml:space="preserve">Impacto negativo en la imagen institucional y/o pérdida de reputación.
</t>
    </r>
    <r>
      <rPr>
        <b/>
        <sz val="10"/>
        <color theme="1"/>
        <rFont val="Calibri"/>
        <family val="2"/>
        <scheme val="minor"/>
      </rPr>
      <t>3.</t>
    </r>
    <r>
      <rPr>
        <sz val="10"/>
        <color theme="1"/>
        <rFont val="Calibri"/>
        <family val="2"/>
        <scheme val="minor"/>
      </rPr>
      <t xml:space="preserve"> Pérdida de mercado de la Lotería de Bogotá.
</t>
    </r>
    <r>
      <rPr>
        <sz val="10"/>
        <color theme="1"/>
        <rFont val="Calibri"/>
        <family val="2"/>
        <scheme val="minor"/>
      </rPr>
      <t xml:space="preserve">
</t>
    </r>
  </si>
  <si>
    <t>LB07</t>
  </si>
  <si>
    <t>Posibilidad de tener vínculo contractual con contrapartes sobre las que se ha emitido información negativa en medios de comunicación, están o han estado incluídos en procesos judiciales o administrativos por delitos relacionados con LA/FT/FPADM, que puedan permear a la Lotería de Bogotá</t>
  </si>
  <si>
    <r>
      <t xml:space="preserve">
</t>
    </r>
    <r>
      <rPr>
        <b/>
        <sz val="10"/>
        <color theme="1"/>
        <rFont val="Calibri"/>
        <family val="2"/>
        <scheme val="minor"/>
      </rPr>
      <t xml:space="preserve">1. </t>
    </r>
    <r>
      <rPr>
        <sz val="10"/>
        <color theme="1"/>
        <rFont val="Calibri"/>
        <family val="2"/>
        <scheme val="minor"/>
      </rPr>
      <t xml:space="preserve">No realizar consulta en listas vinculantes y de control (listas restrictivas) al momento de la creación del vínculo con la contraparte.
</t>
    </r>
    <r>
      <rPr>
        <b/>
        <sz val="10"/>
        <color theme="1"/>
        <rFont val="Calibri"/>
        <family val="2"/>
        <scheme val="minor"/>
      </rPr>
      <t>2.</t>
    </r>
    <r>
      <rPr>
        <sz val="10"/>
        <color theme="1"/>
        <rFont val="Calibri"/>
        <family val="2"/>
        <scheme val="minor"/>
      </rPr>
      <t xml:space="preserve"> No realizar consultas masivas en listas vinculantes y de control (listas restrictivas) de manera periódica a las contrapartes vinculadas.</t>
    </r>
  </si>
  <si>
    <r>
      <rPr>
        <b/>
        <sz val="10"/>
        <color theme="1"/>
        <rFont val="Calibri"/>
        <family val="2"/>
        <scheme val="minor"/>
      </rPr>
      <t>1.</t>
    </r>
    <r>
      <rPr>
        <sz val="10"/>
        <color theme="1"/>
        <rFont val="Calibri"/>
        <family val="2"/>
        <scheme val="minor"/>
      </rPr>
      <t xml:space="preserve"> Sanciones por parte del supervisor, regulador y/o entes de control -Apertura de procesos disciplinarios, judiciales y/o legales.
</t>
    </r>
    <r>
      <rPr>
        <b/>
        <sz val="10"/>
        <color theme="1"/>
        <rFont val="Calibri"/>
        <family val="2"/>
        <scheme val="minor"/>
      </rPr>
      <t xml:space="preserve">2. </t>
    </r>
    <r>
      <rPr>
        <sz val="10"/>
        <color theme="1"/>
        <rFont val="Calibri"/>
        <family val="2"/>
        <scheme val="minor"/>
      </rPr>
      <t xml:space="preserve">Impacto negativo en la imagen institucional y/o pérdida de reputación.
</t>
    </r>
    <r>
      <rPr>
        <b/>
        <sz val="10"/>
        <color theme="1"/>
        <rFont val="Calibri"/>
        <family val="2"/>
        <scheme val="minor"/>
      </rPr>
      <t>3.</t>
    </r>
    <r>
      <rPr>
        <sz val="10"/>
        <color theme="1"/>
        <rFont val="Calibri"/>
        <family val="2"/>
        <scheme val="minor"/>
      </rPr>
      <t xml:space="preserve"> Pérdida de mercado de la Lotería de Bogotá.
</t>
    </r>
    <r>
      <rPr>
        <b/>
        <sz val="10"/>
        <color theme="1"/>
        <rFont val="Calibri"/>
        <family val="2"/>
        <scheme val="minor"/>
      </rPr>
      <t>4.</t>
    </r>
    <r>
      <rPr>
        <sz val="10"/>
        <color theme="1"/>
        <rFont val="Calibri"/>
        <family val="2"/>
        <scheme val="minor"/>
      </rPr>
      <t xml:space="preserve"> Efecto de contagio que afecta a la Lotería de Bogotá por efecto rebote.
</t>
    </r>
  </si>
  <si>
    <t>LB08</t>
  </si>
  <si>
    <t xml:space="preserve">Posibilidad de pérdida y/o extracción de información relacionada con las bases de datos de la Lotería, que pueda ser utilizada por terceros para realizar actividades de LA/FT/FPADM. </t>
  </si>
  <si>
    <r>
      <rPr>
        <b/>
        <sz val="10"/>
        <color theme="1"/>
        <rFont val="Calibri"/>
        <family val="2"/>
        <scheme val="minor"/>
      </rPr>
      <t>1.</t>
    </r>
    <r>
      <rPr>
        <sz val="10"/>
        <color theme="1"/>
        <rFont val="Calibri"/>
        <family val="2"/>
        <scheme val="minor"/>
      </rPr>
      <t xml:space="preserve"> Sanciones por parte del supervisor, regulador y/o entes de control -Apertura de procesos disciplinarios, judiciales y/o legales.
</t>
    </r>
    <r>
      <rPr>
        <b/>
        <sz val="10"/>
        <color theme="1"/>
        <rFont val="Calibri"/>
        <family val="2"/>
        <scheme val="minor"/>
      </rPr>
      <t xml:space="preserve">2. </t>
    </r>
    <r>
      <rPr>
        <sz val="10"/>
        <color theme="1"/>
        <rFont val="Calibri"/>
        <family val="2"/>
        <scheme val="minor"/>
      </rPr>
      <t xml:space="preserve">Impacto negativo en la imagen institucional y/o pérdida de reputación.
</t>
    </r>
    <r>
      <rPr>
        <b/>
        <sz val="10"/>
        <color theme="1"/>
        <rFont val="Calibri"/>
        <family val="2"/>
        <scheme val="minor"/>
      </rPr>
      <t>3.</t>
    </r>
    <r>
      <rPr>
        <sz val="10"/>
        <color theme="1"/>
        <rFont val="Calibri"/>
        <family val="2"/>
        <scheme val="minor"/>
      </rPr>
      <t xml:space="preserve"> Deterioro de los procesos operativos.
</t>
    </r>
    <r>
      <rPr>
        <b/>
        <sz val="10"/>
        <color theme="1"/>
        <rFont val="Calibri"/>
        <family val="2"/>
        <scheme val="minor"/>
      </rPr>
      <t>4</t>
    </r>
    <r>
      <rPr>
        <sz val="10"/>
        <color theme="1"/>
        <rFont val="Calibri"/>
        <family val="2"/>
        <scheme val="minor"/>
      </rPr>
      <t xml:space="preserve">. Pérdida de mercado de la Lotería de Bogotá.
</t>
    </r>
    <r>
      <rPr>
        <b/>
        <sz val="10"/>
        <color theme="1"/>
        <rFont val="Calibri"/>
        <family val="2"/>
        <scheme val="minor"/>
      </rPr>
      <t/>
    </r>
  </si>
  <si>
    <t>LB09</t>
  </si>
  <si>
    <t>Posibilidad de pagar premios a usuarios y/o clientes en la página web de la Lotería o de manera tradicional, sin verificar la identidad del ganador y/o que este relacionado en actividades de LA/FT/FPADM.</t>
  </si>
  <si>
    <r>
      <t xml:space="preserve">
</t>
    </r>
    <r>
      <rPr>
        <b/>
        <sz val="10"/>
        <color theme="1"/>
        <rFont val="Calibri"/>
        <family val="2"/>
        <scheme val="minor"/>
      </rPr>
      <t xml:space="preserve">1. </t>
    </r>
    <r>
      <rPr>
        <sz val="10"/>
        <color theme="1"/>
        <rFont val="Calibri"/>
        <family val="2"/>
        <scheme val="minor"/>
      </rPr>
      <t xml:space="preserve">No realizar consulta en listas vinculantes y de control (listas restrictivas) al momento del pago de premios según los montos establecidos en el Artículo 18.1.4.3.3. del Acuerdo 574 de 2021 del CNJSA.
</t>
    </r>
    <r>
      <rPr>
        <b/>
        <sz val="10"/>
        <color theme="1"/>
        <rFont val="Calibri"/>
        <family val="2"/>
        <scheme val="minor"/>
      </rPr>
      <t xml:space="preserve">2. </t>
    </r>
    <r>
      <rPr>
        <sz val="10"/>
        <color theme="1"/>
        <rFont val="Calibri"/>
        <family val="2"/>
        <scheme val="minor"/>
      </rPr>
      <t xml:space="preserve">Omisión o falta de diligenciamiento del formato FRO-400-300 Identificador de Ganador de Loterías y el formato FRO-420-473 Identificador de Ganador de Rifas y Promocionales.
</t>
    </r>
    <r>
      <rPr>
        <b/>
        <sz val="10"/>
        <color theme="1"/>
        <rFont val="Calibri"/>
        <family val="2"/>
        <scheme val="minor"/>
      </rPr>
      <t>3</t>
    </r>
    <r>
      <rPr>
        <sz val="10"/>
        <color theme="1"/>
        <rFont val="Calibri"/>
        <family val="2"/>
        <scheme val="minor"/>
      </rPr>
      <t>. Omisión o falta de verificación de los datos correspondientes a los usuarios creados en la página web</t>
    </r>
  </si>
  <si>
    <r>
      <rPr>
        <b/>
        <sz val="10"/>
        <color theme="1"/>
        <rFont val="Calibri"/>
        <family val="2"/>
        <scheme val="minor"/>
      </rPr>
      <t>1.</t>
    </r>
    <r>
      <rPr>
        <sz val="10"/>
        <color theme="1"/>
        <rFont val="Calibri"/>
        <family val="2"/>
        <scheme val="minor"/>
      </rPr>
      <t xml:space="preserve"> Sanciones por parte del supervisor, regulador y/o entes de control -Apertura de procesos disciplinarios, judiciales y/o legales.
</t>
    </r>
    <r>
      <rPr>
        <b/>
        <sz val="10"/>
        <color theme="1"/>
        <rFont val="Calibri"/>
        <family val="2"/>
        <scheme val="minor"/>
      </rPr>
      <t xml:space="preserve">2. </t>
    </r>
    <r>
      <rPr>
        <sz val="10"/>
        <color theme="1"/>
        <rFont val="Calibri"/>
        <family val="2"/>
        <scheme val="minor"/>
      </rPr>
      <t xml:space="preserve">Impacto negativo en la imagen institucional y/o pérdida de reputación.
</t>
    </r>
    <r>
      <rPr>
        <b/>
        <sz val="10"/>
        <color theme="1"/>
        <rFont val="Calibri"/>
        <family val="2"/>
        <scheme val="minor"/>
      </rPr>
      <t>3.</t>
    </r>
    <r>
      <rPr>
        <sz val="10"/>
        <color theme="1"/>
        <rFont val="Calibri"/>
        <family val="2"/>
        <scheme val="minor"/>
      </rPr>
      <t xml:space="preserve"> Deterioro de los procesos operativos.
</t>
    </r>
    <r>
      <rPr>
        <b/>
        <sz val="10"/>
        <color theme="1"/>
        <rFont val="Calibri"/>
        <family val="2"/>
        <scheme val="minor"/>
      </rPr>
      <t>4.</t>
    </r>
    <r>
      <rPr>
        <sz val="10"/>
        <color theme="1"/>
        <rFont val="Calibri"/>
        <family val="2"/>
        <scheme val="minor"/>
      </rPr>
      <t xml:space="preserve"> Pérdida de mercado de la Lotería de Bogotá.
</t>
    </r>
    <r>
      <rPr>
        <sz val="10"/>
        <color theme="1"/>
        <rFont val="Calibri"/>
        <family val="2"/>
        <scheme val="minor"/>
      </rPr>
      <t xml:space="preserve">
</t>
    </r>
  </si>
  <si>
    <t>LB10</t>
  </si>
  <si>
    <t xml:space="preserve">Posibilidad de que un ganador del premio de la lotería venda o realice algun tipo de negociación con un tercero, para transferir la propiedad del billete de lotería con la finalidad de realizar una operación de LA/FT/FPADM. </t>
  </si>
  <si>
    <r>
      <t xml:space="preserve">
</t>
    </r>
    <r>
      <rPr>
        <b/>
        <sz val="10"/>
        <color theme="1"/>
        <rFont val="Calibri"/>
        <family val="2"/>
        <scheme val="minor"/>
      </rPr>
      <t>1.</t>
    </r>
    <r>
      <rPr>
        <sz val="10"/>
        <color theme="1"/>
        <rFont val="Calibri"/>
        <family val="2"/>
        <scheme val="minor"/>
      </rPr>
      <t xml:space="preserve"> Terceros interesados en delitos de LA/FT/FPADM.
</t>
    </r>
    <r>
      <rPr>
        <b/>
        <sz val="10"/>
        <color theme="1"/>
        <rFont val="Calibri"/>
        <family val="2"/>
        <scheme val="minor"/>
      </rPr>
      <t>2.</t>
    </r>
    <r>
      <rPr>
        <sz val="10"/>
        <color theme="1"/>
        <rFont val="Calibri"/>
        <family val="2"/>
        <scheme val="minor"/>
      </rPr>
      <t xml:space="preserve"> Evadir impuestos recibiendo beneficios económicos de terceros por parte del ganador de lotería. </t>
    </r>
  </si>
  <si>
    <r>
      <t xml:space="preserve">
</t>
    </r>
    <r>
      <rPr>
        <b/>
        <sz val="10"/>
        <color theme="1"/>
        <rFont val="Calibri"/>
        <family val="2"/>
        <scheme val="minor"/>
      </rPr>
      <t xml:space="preserve">1. </t>
    </r>
    <r>
      <rPr>
        <sz val="10"/>
        <color theme="1"/>
        <rFont val="Calibri"/>
        <family val="2"/>
        <scheme val="minor"/>
      </rPr>
      <t xml:space="preserve">Impacto negativo en la imagen institucional y/o pérdida de reputación.
</t>
    </r>
    <r>
      <rPr>
        <b/>
        <sz val="10"/>
        <color theme="1"/>
        <rFont val="Calibri"/>
        <family val="2"/>
        <scheme val="minor"/>
      </rPr>
      <t>2.</t>
    </r>
    <r>
      <rPr>
        <sz val="10"/>
        <color theme="1"/>
        <rFont val="Calibri"/>
        <family val="2"/>
        <scheme val="minor"/>
      </rPr>
      <t xml:space="preserve"> Pérdida de mercado de la Lotería de Bogotá.
</t>
    </r>
    <r>
      <rPr>
        <b/>
        <sz val="10"/>
        <color theme="1"/>
        <rFont val="Calibri"/>
        <family val="2"/>
        <scheme val="minor"/>
      </rPr>
      <t>3.</t>
    </r>
    <r>
      <rPr>
        <sz val="10"/>
        <color theme="1"/>
        <rFont val="Calibri"/>
        <family val="2"/>
        <scheme val="minor"/>
      </rPr>
      <t xml:space="preserve"> Efecto de contagio que afecta a la Lotería de Bogotá por efecto rebote.
</t>
    </r>
  </si>
  <si>
    <t>LB11</t>
  </si>
  <si>
    <t>Posibilidad de que los distribuidores y gestores de la Lotería de Bogotá realicen el pago y/o entrega de un premio en dinero o en especie, sin aplicar los protocolos de consulta en las listas vinculantes y de control.</t>
  </si>
  <si>
    <r>
      <t xml:space="preserve">
</t>
    </r>
    <r>
      <rPr>
        <b/>
        <sz val="10"/>
        <color theme="1"/>
        <rFont val="Calibri"/>
        <family val="2"/>
        <scheme val="minor"/>
      </rPr>
      <t xml:space="preserve">1. </t>
    </r>
    <r>
      <rPr>
        <sz val="10"/>
        <color theme="1"/>
        <rFont val="Calibri"/>
        <family val="2"/>
        <scheme val="minor"/>
      </rPr>
      <t xml:space="preserve">No realizar consulta en listas vinculantes y de control (listas restrictivas) al momento del pago de premios según los montos establecidos en el Artículo 18.1.4.3.3. del Acuerdo 574 de 2021 del CNJSA.
</t>
    </r>
    <r>
      <rPr>
        <b/>
        <sz val="10"/>
        <color theme="1"/>
        <rFont val="Calibri"/>
        <family val="2"/>
        <scheme val="minor"/>
      </rPr>
      <t xml:space="preserve">2. </t>
    </r>
    <r>
      <rPr>
        <sz val="10"/>
        <color theme="1"/>
        <rFont val="Calibri"/>
        <family val="2"/>
        <scheme val="minor"/>
      </rPr>
      <t xml:space="preserve">Omisión o falta de diligenciamiento del formato FRO-400-300 Identificador de Ganador de Loterías y el formato FRO-420-473 Identificador de Ganador de Rifas y Promocionales.
</t>
    </r>
    <r>
      <rPr>
        <b/>
        <sz val="10"/>
        <color theme="1"/>
        <rFont val="Calibri"/>
        <family val="2"/>
        <scheme val="minor"/>
      </rPr>
      <t xml:space="preserve">3. </t>
    </r>
    <r>
      <rPr>
        <sz val="10"/>
        <color theme="1"/>
        <rFont val="Calibri"/>
        <family val="2"/>
        <scheme val="minor"/>
      </rPr>
      <t>Errores o fallas en las consultas realizadas por los distribuidores y/o gestores</t>
    </r>
  </si>
  <si>
    <t>LB12</t>
  </si>
  <si>
    <t>Posibilidad que se identifique un cobro continuo de premios en una o más modalidades de juego, por una misma persona o un mismo ganador.</t>
  </si>
  <si>
    <r>
      <rPr>
        <b/>
        <sz val="10"/>
        <color theme="1"/>
        <rFont val="Calibri"/>
        <family val="2"/>
        <scheme val="minor"/>
      </rPr>
      <t>1</t>
    </r>
    <r>
      <rPr>
        <sz val="10"/>
        <color theme="1"/>
        <rFont val="Calibri"/>
        <family val="2"/>
        <scheme val="minor"/>
      </rPr>
      <t>. Omisión o falla en la ejecución del análisis de ganadores de premios</t>
    </r>
  </si>
  <si>
    <r>
      <rPr>
        <b/>
        <sz val="10"/>
        <color theme="1"/>
        <rFont val="Calibri"/>
        <family val="2"/>
        <scheme val="minor"/>
      </rPr>
      <t>1.</t>
    </r>
    <r>
      <rPr>
        <sz val="10"/>
        <color theme="1"/>
        <rFont val="Calibri"/>
        <family val="2"/>
        <scheme val="minor"/>
      </rPr>
      <t xml:space="preserve"> Sanciones por parte del supervisor, regulador y/o entes de control -Apertura de procesos disciplinarios, judiciales y/o legales.
</t>
    </r>
    <r>
      <rPr>
        <b/>
        <sz val="10"/>
        <color theme="1"/>
        <rFont val="Calibri"/>
        <family val="2"/>
        <scheme val="minor"/>
      </rPr>
      <t xml:space="preserve">2. </t>
    </r>
    <r>
      <rPr>
        <sz val="10"/>
        <color theme="1"/>
        <rFont val="Calibri"/>
        <family val="2"/>
        <scheme val="minor"/>
      </rPr>
      <t xml:space="preserve">Impacto negativo en la imagen institucional y/o pérdida de reputación.
</t>
    </r>
    <r>
      <rPr>
        <b/>
        <sz val="10"/>
        <color theme="1"/>
        <rFont val="Calibri"/>
        <family val="2"/>
        <scheme val="minor"/>
      </rPr>
      <t>3.</t>
    </r>
    <r>
      <rPr>
        <sz val="10"/>
        <color theme="1"/>
        <rFont val="Calibri"/>
        <family val="2"/>
        <scheme val="minor"/>
      </rPr>
      <t xml:space="preserve"> Deterioro de los procesos operativos.
</t>
    </r>
    <r>
      <rPr>
        <b/>
        <sz val="10"/>
        <color theme="1"/>
        <rFont val="Calibri"/>
        <family val="2"/>
        <scheme val="minor"/>
      </rPr>
      <t/>
    </r>
  </si>
  <si>
    <t>LB13</t>
  </si>
  <si>
    <t>Posibilidad de que el concesionario no implemente un Sistema de LA/FT/FPADM y/o no de cumplimiento a los lineamientos del Acuerdo 574 de 2021 del CNJSA en lateria de LA/FT/FPADM.</t>
  </si>
  <si>
    <r>
      <t xml:space="preserve">
</t>
    </r>
    <r>
      <rPr>
        <b/>
        <sz val="10"/>
        <color theme="1"/>
        <rFont val="Calibri"/>
        <family val="2"/>
        <scheme val="minor"/>
      </rPr>
      <t>1.</t>
    </r>
    <r>
      <rPr>
        <sz val="10"/>
        <color theme="1"/>
        <rFont val="Calibri"/>
        <family val="2"/>
        <scheme val="minor"/>
      </rPr>
      <t>Falta de conocimiento del concesionario de todas las obligaciones contractuales y de ley y cumplimiento de los reportes al UIAF e implementación del SARLAFT</t>
    </r>
  </si>
  <si>
    <r>
      <rPr>
        <b/>
        <sz val="10"/>
        <color theme="1"/>
        <rFont val="Calibri"/>
        <family val="2"/>
        <scheme val="minor"/>
      </rPr>
      <t>1.</t>
    </r>
    <r>
      <rPr>
        <sz val="10"/>
        <color theme="1"/>
        <rFont val="Calibri"/>
        <family val="2"/>
        <scheme val="minor"/>
      </rPr>
      <t xml:space="preserve"> Sanciones por parte del supervisor, regulador y/o entes de control -Apertura de procesos disciplinarios, judiciales y/o legales.
</t>
    </r>
    <r>
      <rPr>
        <b/>
        <sz val="10"/>
        <color theme="1"/>
        <rFont val="Calibri"/>
        <family val="2"/>
        <scheme val="minor"/>
      </rPr>
      <t xml:space="preserve">2. </t>
    </r>
    <r>
      <rPr>
        <sz val="10"/>
        <color theme="1"/>
        <rFont val="Calibri"/>
        <family val="2"/>
        <scheme val="minor"/>
      </rPr>
      <t xml:space="preserve">Impacto negativo en la imagen institucional y/o pérdida de reputación.
</t>
    </r>
    <r>
      <rPr>
        <b/>
        <sz val="10"/>
        <color theme="1"/>
        <rFont val="Calibri"/>
        <family val="2"/>
        <scheme val="minor"/>
      </rPr>
      <t>3.</t>
    </r>
    <r>
      <rPr>
        <sz val="10"/>
        <color theme="1"/>
        <rFont val="Calibri"/>
        <family val="2"/>
        <scheme val="minor"/>
      </rPr>
      <t xml:space="preserve"> Deterioro de los procesos operativos.
</t>
    </r>
    <r>
      <rPr>
        <b/>
        <sz val="10"/>
        <color theme="1"/>
        <rFont val="Calibri"/>
        <family val="2"/>
        <scheme val="minor"/>
      </rPr>
      <t>4.</t>
    </r>
    <r>
      <rPr>
        <sz val="10"/>
        <color theme="1"/>
        <rFont val="Calibri"/>
        <family val="2"/>
        <scheme val="minor"/>
      </rPr>
      <t xml:space="preserve"> Pérdida de mercado de la Lotería de Bogotá.
</t>
    </r>
    <r>
      <rPr>
        <b/>
        <sz val="10"/>
        <color theme="1"/>
        <rFont val="Calibri"/>
        <family val="2"/>
        <scheme val="minor"/>
      </rPr>
      <t>5.</t>
    </r>
    <r>
      <rPr>
        <sz val="10"/>
        <color theme="1"/>
        <rFont val="Calibri"/>
        <family val="2"/>
        <scheme val="minor"/>
      </rPr>
      <t xml:space="preserve"> Efecto de contagio que afecta a la Lotería de Bogotá por efecto rebote.
</t>
    </r>
  </si>
  <si>
    <t>SEGMENTO</t>
  </si>
  <si>
    <t>PROCESOS/ÁREAS DE PRÁCTICAS</t>
  </si>
  <si>
    <t>SUBPROCESO</t>
  </si>
  <si>
    <t>No RIESGO</t>
  </si>
  <si>
    <t>FACTOR DE RIESGO</t>
  </si>
  <si>
    <t>CODIGO PROCESO</t>
  </si>
  <si>
    <t>CODIGO RIESGO</t>
  </si>
  <si>
    <t>RIESGO DESCRIPCION</t>
  </si>
  <si>
    <t>CAUSA</t>
  </si>
  <si>
    <t>VALORACION CONSECUENCIA</t>
  </si>
  <si>
    <t>VALORACION RIESGO INHERENTE</t>
  </si>
  <si>
    <t>NIVEL DEL RIESGO (RIESGO INHERENTE)</t>
  </si>
  <si>
    <t>TRATAMIENTO DEL RIESGO</t>
  </si>
  <si>
    <t>Posibilidad de entregar información incompleta o errónea al área encargada de responder un requerimiento sobre LA/FT/FPADM realizado por un ente de control.</t>
  </si>
  <si>
    <t>Falta de procedimientos que permitan garantizar la generación de información por parte del área de contabilidad sobre información financiera.</t>
  </si>
  <si>
    <t>Empleados</t>
  </si>
  <si>
    <t>Creación de proveedores</t>
  </si>
  <si>
    <t>Posibilidad de tener relación legal o contractual con proveedores que realicen falsificación de documentos para su vinculación como por ejemplo:  información financiera, información de contacto, información demográfica y legal con el objetivo de vulnerar los procesos de la Firma y así poder vincularse y posiblemente realizar transacciones relacionadas con LA/FT/FPADM.</t>
  </si>
  <si>
    <t>Omisión o falla en la ejecución de procedimientos relacionados con la debida diligencia o debida diligencia intensificada en la creación del proveedor.</t>
  </si>
  <si>
    <t>Omisión o falla en la ejecución de las políticas y procedimientos relacionados con LA/FT/FPADM.</t>
  </si>
  <si>
    <t>Servicios</t>
  </si>
  <si>
    <t>Posibilidad de utilización de un servicio prestado por la Firma para realizar operaciones relacionadas con LA/FT/FPADM.</t>
  </si>
  <si>
    <t>Omisión o falla en la estructuración de servicios prestados por la Firma.</t>
  </si>
  <si>
    <t>Posibilidad de utilización de un canal comercial o transaccional de la Firma para realizar operaciones relacionadas con LA/FT/FPADM.</t>
  </si>
  <si>
    <t>Omisión o falla en la verificación de las operaciones realizadas a través de los canales comerciales y/o transaccionales.</t>
  </si>
  <si>
    <t>Posibilidad de crear proveedores (socios) relacionados con actividades LA/FT/FPADM.</t>
  </si>
  <si>
    <t>Posibilidad de tener relación legal o contractual con empresas fachada que realicen transacciones o contratos relacionadas con  LA/FT/FPADM.</t>
  </si>
  <si>
    <t>Posibilidad de tener relación legal o contratar bienes y servicios con Personas Expuestas Políticamente (PEP) que se puedan aprovechar de su condición para realizar actividades de LA/FT/FPADM.</t>
  </si>
  <si>
    <t>Omisión o falla en la ejecución de procedimientos relacionados con la debida diligencia intensificada de conocimiento del proveedor.</t>
  </si>
  <si>
    <t xml:space="preserve">Posibilidad de tener relación legal o contratar bienes y servicios con relacionados de Personas Expuestas Políticamente (PEP) que se puedan aprovechar de su condición para realizar actividades de LA/FT/FPADM. </t>
  </si>
  <si>
    <t xml:space="preserve">Posibilidad de tener relación legal, contractual o comercial con proveedores sobre las que se ha emitido información negativa en medios de comunicación, están o han estado incluido en procesos judiciales o administrativos por delitos relacionados con LA/FT/FPADM. </t>
  </si>
  <si>
    <t>Deficiencias en la calidad de la información de las listas /externas o en el sistema de prevención del LA/FT/FPADM.</t>
  </si>
  <si>
    <t>Posibilidad de tener relación legal o contractual con proveedores persona jurídica con estructuras societarias complejas, que dificultan la identificación de sus accionistas y/o beneficiarios finales, facilitando el ocultamiento de personas cuya intención consiste en lavar activos o financiar el terrorismo.</t>
  </si>
  <si>
    <t>Posibilidad  de tener relación legal, contractual o comercial con proveedores personas naturales o jurídicas con ocupaciones catalogadas por la Firma como de alto riesgo y que puedan estar relacionados con actividades de LA/FT/FPADM.</t>
  </si>
  <si>
    <t>Omisión o falla en la ejecución de procedimientos relacionados con la debida diligencia intensificada en la creación del proveedor.</t>
  </si>
  <si>
    <t>Facturación y cartera</t>
  </si>
  <si>
    <t>Facturación</t>
  </si>
  <si>
    <t>Posibilidad de realizar un pago de factura a un proveedor que se encuentra en listas vinculantes y de control.</t>
  </si>
  <si>
    <t>Falta de un procedimiento para el pago de facturas documentado y aprobado que incluyan la obligación de consultar la lista vinculante y de control previamente a realizar el pago.</t>
  </si>
  <si>
    <t>Posibilidad de generar un pago de factura a un cliente o pagador (payer) que se encuentra en listas vinculantes y de control.</t>
  </si>
  <si>
    <t>Falta de un procedimiento para la generación las facturas documentado y aprobado que incluyan la obligación de consultar la lista vinculante y de control previamente a generar la factura que incluya al cliente o pagador (payer).</t>
  </si>
  <si>
    <t>Posibilidad de recibir prepagos de facturas por servicios prestados sin verificar el origen de los fondos.</t>
  </si>
  <si>
    <t>Falla u omisión en la verificación del origen de los recursos con los que el cliente paga un servicio.</t>
  </si>
  <si>
    <t>Cartera</t>
  </si>
  <si>
    <t>Posibilidad de recibir un cheque como pago a una obligación por parte de un tercero que no tenga ninguna relación con el contrato diferente a un pagador (payer).</t>
  </si>
  <si>
    <t>Falla u omisión del procedimiento establecido para el pago con cheque.</t>
  </si>
  <si>
    <t>Posibilidad de que la firma realice pagos a terceros en países catalogados de alto riesgo LA/FT/FPADM.</t>
  </si>
  <si>
    <t>Posibilidad de concentración de recaudos de cuentas por cobrar por servicios prestados en zonas y jurisdicciones de alto riesgo en materia de LA/FT/FPADM.</t>
  </si>
  <si>
    <t>Falla u omisión en los procedimientos relacionados con debida diligencia intensificada y procedimiento de facturación.</t>
  </si>
  <si>
    <t>Gerencia General</t>
  </si>
  <si>
    <t>Posibilidad de tener relaciones contractuales, legales o comerciales con clientes relacionados con delitos LA/FT/FPADM.</t>
  </si>
  <si>
    <t>Falla u omisión en la verificación de las políticas y procedimientos sobre conocimiento para el cliente o del cliente en temas LA/FT/FPADM.</t>
  </si>
  <si>
    <t>Posibilidad de tener relaciones contractuales, legales o comerciales con proveedores relacionados con delitos LA/FT/FPADM</t>
  </si>
  <si>
    <t>Falla u omisión en la verificación de las políticas y procedimientos sobre conocimiento para el proveedor o del proveedor en temas LA/FT/FPADM.</t>
  </si>
  <si>
    <t>Posibilidad de tener relaciones contractuales, legales o comerciales con empleados relacionados con delitos LA/FT/FPADM</t>
  </si>
  <si>
    <t>Falla u omisión en la verificación de las políticas y procedimientos sobre conocimiento para el empleado o del empleado en temas LA/FT/FPADM.</t>
  </si>
  <si>
    <t>Posibilidad de tener relaciones contractuales, legales o comerciales con accionistas relacionados con delitos LA/FT/FPADM</t>
  </si>
  <si>
    <t>Falla u omisión en la verificación de las políticas y procedimientos sobre conocimiento para el accionista o del accionista en temas LA/FT/FPADM.</t>
  </si>
  <si>
    <t>Omisión o falla en la verificación de las políticas y procedimientos relacionados con LA/FT/FPADM.</t>
  </si>
  <si>
    <t>Knowledge management</t>
  </si>
  <si>
    <t>Posibilidad de generar una relación legal o contractual con un prospecto de cliente proveniente de reuniones con gremios o asociaciones que tenga actividades LA/FT/FPADM.</t>
  </si>
  <si>
    <t>Omisión o falla en la verificación del establecimiento de relaciones comerciales a través de este canal.</t>
  </si>
  <si>
    <t>Planeación financiera</t>
  </si>
  <si>
    <t>Posibilidad que en el proceso de pricing se antepongan metas o criterios comerciales a las políticas y/o procedimientos en materia de riesgo de LA/FT/FPADM.</t>
  </si>
  <si>
    <t>Falla u omisión en la aplicación de la política de anteponer el cumplimiento de las políticas y procedimientos en materia de riesgo LA/FT/FPADM a los objetivos o metas comerciales.</t>
  </si>
  <si>
    <t>Creación de clientes y asuntos</t>
  </si>
  <si>
    <t>Falta de procedimientos que permitan garantizar la generación de información por parte del área de planeación financiera.</t>
  </si>
  <si>
    <t>Posibilidad de tener relación legal o contractual con clientes que realicen falsificación de documentos para su vinculación como por ejemplo:  información financiera, información de contacto, información demográfica y legal con el objetivo de vulnerar los procesos de la Firma y así poder vincularse y posiblemente realizar transacciones relacionadas con LA/FT/FPADM.</t>
  </si>
  <si>
    <t>Omisión o falla en la ejecución de procedimientos relacionados con la debida diligencia o debida diligencia intensificada en la creación del cliente.</t>
  </si>
  <si>
    <t>Posibilidad de crear clientes relacionadas con actividades LA/FT/FPADM.</t>
  </si>
  <si>
    <t>Posibilidad de vincular clientes que estén relacionados o realicen operaciones con Criptomonedas y que con puedan estar haciendo operaciones de LA/FT/FPADM.</t>
  </si>
  <si>
    <t>Omisión o falla en la ejecución de procedimientos relacionados con la debida diligencia intensificada en la creación del cliente.</t>
  </si>
  <si>
    <t>Posibilidad de tener relación legal o contractual con empresas fachada que realicen transacciones o contratos relacionados con LA/FT/FPADM.</t>
  </si>
  <si>
    <t>Posibilidad de tener relación legal o contractual con Personas Expuestas Políticamente (PEP) que se puedan aprovechar de su condición para realizar actividades de LA/FT/FPADM.</t>
  </si>
  <si>
    <t>Omisión o falla en la ejecución de procedimientos relacionados con la debida diligencia intensificada de conocimiento del cliente.</t>
  </si>
  <si>
    <t xml:space="preserve">Posibilidad de tener relación legal o contractual con relacionados de Personas Expuestas Políticamente (PEP) que se puedan aprovechar de su condición para realizar actividades de LA/FT/FPADM. </t>
  </si>
  <si>
    <t xml:space="preserve">Posibilidad de tener relación legal, contractual o comercial con clientes sobre las que se ha emitido información negativa en medios de comunicación, están o han estado incluídos en procesos judiciales o administrativos por delitos relacionados con LA/FT/FPADM. </t>
  </si>
  <si>
    <t>Posibilidad de tener relación legal o contractual con clientes persona jurídica con estructuras societarias complejas, que dificultan la identificación de sus accionistas y/o beneficiarios finales, facilitando el ocultamiento de personas cuya intención consiste en lavar activos o financiar el terrorismo.</t>
  </si>
  <si>
    <t>Posibilidad  de tener relación legal, contractual o comercial con clientes personas naturales o jurídicas con ocupaciones catalogadas por la Firma como de alto riesgo y que puedan estar relacionados con actividades de LA/FT/FPADM.</t>
  </si>
  <si>
    <t>Tesorería</t>
  </si>
  <si>
    <t>Posibilidad de utilizar una casa de cambio en el proceso de compra y/o venta de dólares para la entrega y/o pago de biáticos a los abogados que este relacionada con actividades LA/FT/FPADM.</t>
  </si>
  <si>
    <t>Omisión o falla en la ejecución de procedimientos relacionados con la debida diligencia y debida diligencia intensificada de conocimiento del proveedor.</t>
  </si>
  <si>
    <t>Recursos Humanos</t>
  </si>
  <si>
    <t>Reclutamiento y contratación</t>
  </si>
  <si>
    <t>Posibilidad de contratar nuevos empleados que se encuentren en listas vinculantes y de control.</t>
  </si>
  <si>
    <t>Omisión o falla en la ejecución de procedimientos relacionados con la debida diligencia de conocimiento del empleado.</t>
  </si>
  <si>
    <t xml:space="preserve">Posibilidad de contratar nuevos empleados sobre los que se han emitido información negativa en medios de comunicación, están o han estado incluídos en procesos judiciales o administrativos por delitos relacionados con LA/FT/FPADM. </t>
  </si>
  <si>
    <t>Posibilidad de contratar nuevos empleados que han tenido ocupaciones catalogadas por la Firma como de alto riesgo y puede estar relacionado con actividades de LA/FT/FPADM.</t>
  </si>
  <si>
    <t>Omisión o falla en la ejecución de procedimientos relacionados con la debida diligencia y debida diligencia intensificada de conocimiento del empleado.</t>
  </si>
  <si>
    <t>Posibilidad de contratar nuevos empleados que para su vinculación entreguen información falsificada de documentos con el objetivo de facilitar la realización de operaciones relacionadas al LA/FT/FPADM.</t>
  </si>
  <si>
    <t>Posibilidad de contratar nuevos empleados que se han desempeñado profesionalmente en jurisdicciones consideradas de alto riesgo LA/FT/FPADM.</t>
  </si>
  <si>
    <t>Posibilidad de contratar nuevos empleados relacionados con procesos altamente sensibles sin un estudio de seguridad.</t>
  </si>
  <si>
    <t>Posibilidad de vincular empleados que generen señales de alerta sin la verificación del Oficial de Cumplimiento.</t>
  </si>
  <si>
    <t>Posibilidad de contratar nuevos empleados que son Personas Expuestas Políticamente (PEP) que se puedan aprovechar de su condición para realizar actividades de LA/FT/FPADM.</t>
  </si>
  <si>
    <t>Omisión o falla en la ejecución de procedimientos relacionados con la debida diligencia intensificada.</t>
  </si>
  <si>
    <t xml:space="preserve">Posibilidad de contratar nuevos empleados que están relacionados de Personas Expuestas Políticamente (PEP) que se puedan aprovechar de su condición para realizar actividades de LA/FT/FPADM. </t>
  </si>
  <si>
    <t>Posibilidad de contratar nuevos empleados que tengan antecedentes o investigaciones disciplinarias.</t>
  </si>
  <si>
    <t xml:space="preserve">No se cuenta con una política de verificación de antecedentes para los empleados de ingreso. </t>
  </si>
  <si>
    <t>Nómina y administración de personal</t>
  </si>
  <si>
    <t>Posibilidad de que un empleado aparezca en listas vinculantes y de control en la revisión periódica de éstas.</t>
  </si>
  <si>
    <t>Falta de procedimientos que permitan realizar el conocimiento de los empleados vinculados.</t>
  </si>
  <si>
    <t>Compensación y beneficios</t>
  </si>
  <si>
    <t>Posibilidad que se antepongan metas o criterios comerciales a las políticas y/o procedimientos en materia de riesgo de LA/FT/FPADM para la obtención de bonos ofrecidos por la Firma.</t>
  </si>
  <si>
    <t>Servicios administrativos</t>
  </si>
  <si>
    <t>Posibilidad de ofrecimientos de dinero o dádivas a empleados del área adminsitrativa (archivo, correspondencia y mensajería) para obtener información comercial, legal o contractual de la Firma.</t>
  </si>
  <si>
    <t>Falla u omisión por parte del cliente en la aplicación del código de ética y conducta de la Firma.</t>
  </si>
  <si>
    <t>Correspondencia</t>
  </si>
  <si>
    <t>Posibilidad de recibir una comunicación por parte de un ente de control relacionado con temas LA/FT/FPADM y el mismo no llegue a tiempo a la Oficial de Cumplimiento para dar respuesta en los términos del mismo.</t>
  </si>
  <si>
    <t>Falla u omisión en la aplicación del procedimiento de respuesta a requerimientos por parte de entes de control.</t>
  </si>
  <si>
    <t>Archivo</t>
  </si>
  <si>
    <t xml:space="preserve">Posibilidad de pérdida de información relacionada con la administración del riesgo LA/FT/FPADM. </t>
  </si>
  <si>
    <t>Falla u omisión en la aplicación del procedimiento de conservación de archivo y documentación.</t>
  </si>
  <si>
    <t>Servicios Generales</t>
  </si>
  <si>
    <t>Posibilidad de ofrecimientos de dinero o dádivas por parte de proveedores a empleados del área adminsitrativa (servicios generales) para tener prioridad en la compra de servicios e insumos para la oficina.</t>
  </si>
  <si>
    <t>Falla u omisión por parte del proveedor en la aplicación del código de ética y conducta de la Firma.</t>
  </si>
  <si>
    <t>Tecnología</t>
  </si>
  <si>
    <t>Soporte de aplicaciones</t>
  </si>
  <si>
    <t>Posibilidad de fallas en las herramientas tecnológicas que soportan la actividad del Oficial de Cumplimiento en relación con el SAGRILAFT.</t>
  </si>
  <si>
    <t>Falla u omisión en los procedimientos relacionados con tecnología.</t>
  </si>
  <si>
    <t>Soporte a usuarios</t>
  </si>
  <si>
    <t>Posibilidad de demoras en la atención de los requerimientos realizados por la Oficial de Cumplimiento a Tecnología en relación con temas LA/FT/FPADM.</t>
  </si>
  <si>
    <t>Desarrollo de negocios, mercadeo y comunicaciones</t>
  </si>
  <si>
    <t>Mercadeo y comunicaciones</t>
  </si>
  <si>
    <t>Posibilidad que prospectos de clientes vinculados a actividades LA/FT/FPADM busquen ser invitados a eventos, talleres, reuniones, entre otros, organizados o en los que participa la Firma, con el objetivo de establecer una relación comercial, legal o contractual.</t>
  </si>
  <si>
    <t>Omisión o falla en la ejecución de procedimientos relacionados con la debida diligencia.</t>
  </si>
  <si>
    <t>Cumplimiento corporativo</t>
  </si>
  <si>
    <t>Posibilidad de exposición negativa frente a una entidad de supervisión, regulación y control por cambios normativos expedidos por estas.</t>
  </si>
  <si>
    <t>Omisión o falla en la revisión y/o actualización de los cambios normativos expedidos por órganos de supervisión, regulación y control.</t>
  </si>
  <si>
    <t>Posibilidad de tener relaciones contractuales, legales o comerciales con clientes relacionados con delitos LA/FT/FPADM</t>
  </si>
  <si>
    <t>Real Estate</t>
  </si>
  <si>
    <t>Posibilidad de tener relaciones contractuales, legales o comerciales con clientes vinculados al sector de la construcción, inmobiliarias y bienes raíces relacionados con delitos LA/FT/FPADM.</t>
  </si>
  <si>
    <t>Posibilidad de utilización del servicio de derecho inmobiliario prestado por la Firma para realizar operaciones relacionadas con LA/FT/FPADM.</t>
  </si>
  <si>
    <t>Sociedades</t>
  </si>
  <si>
    <t>Posibilidad de tener relaciones contractuales, legales o comerciales con clientes de sociedades relacionadas con delitos LA/FT/FPADM</t>
  </si>
  <si>
    <t>Posibilidad de utilización del servicio de derecho societario, reorganizaciones o reestructuraciones prestados por la Firma para realizar operaciones relacionadas con LA/FT/FPADM.</t>
  </si>
  <si>
    <t>Energía / Minería / Infraestructura</t>
  </si>
  <si>
    <t>Posibilidad de tener relaciones contractuales, legales o comerciales con clientes vinculados a los sectores de minería de metales preciosos como oro, plata, platino y arenas minerales y uranio relacionados con delitos LA/FT/FPADM.</t>
  </si>
  <si>
    <t>Posibilidad de tener relaciones contractuales, legales o comerciales con clientes vinculados a los sectores de energía, petróleo, gas e infraestructura relacionados con delitos LA/FT/FPADM especialmente en temas de corrupción.</t>
  </si>
  <si>
    <t>Posibilidad de utilización del servicio de derecho energético y minero prestado por la Firma para realizar operaciones relacionadas con LA/FT/FPADM.</t>
  </si>
  <si>
    <t>Impuestos</t>
  </si>
  <si>
    <t>Posibilidad de tener relaciones contractuales, legales o comerciales con clientes que tienen la obligación de tributar relacionados con delitos LA/FT/FPADM</t>
  </si>
  <si>
    <t>Posibilidad de utilización del servicio de derecho tributario prestado por la Firma para realizar operaciones relacionadas con LA/FT/FPADM.</t>
  </si>
  <si>
    <t>M&amp;A / Private Equity</t>
  </si>
  <si>
    <t>Posibilidad de tener relaciones contractuales, legales o comerciales con clientes que buscan realizar fusiones o adquisiciones relacionados con delitos LA/FT/FPADM</t>
  </si>
  <si>
    <t>Posibilidad de utilización del servicio de fusiones y adquisiciones prestado por la Firma para realizar operaciones relacionadas con LA/FT/FPADM.</t>
  </si>
  <si>
    <t>CONSECUENCIA</t>
  </si>
  <si>
    <t>VALORACION</t>
  </si>
  <si>
    <t>Riesgos asociados</t>
  </si>
  <si>
    <t>MEDIDAS</t>
  </si>
  <si>
    <t>ACCIONES DE EJECUCION</t>
  </si>
  <si>
    <t>CALIFICACION DEL CONTROL</t>
  </si>
  <si>
    <t>FORMALIDAD</t>
  </si>
  <si>
    <t>TOTAL FORMALIDAD</t>
  </si>
  <si>
    <t>APLICACIÓN</t>
  </si>
  <si>
    <t>TOTAL APLICACIÓN</t>
  </si>
  <si>
    <t xml:space="preserve"> EFECTIVIDAD</t>
  </si>
  <si>
    <t>CONCLUSIÓN EFECTIVIDAD</t>
  </si>
  <si>
    <t>TOTAL EFECTIVIDAD</t>
  </si>
  <si>
    <t>VALORACIÓN DEL CONTROL</t>
  </si>
  <si>
    <t>CALIFICACIÓN CALIDAD DEL CONTROL</t>
  </si>
  <si>
    <t>EFECTO MITIGACIÓN 
(Sobre valoración de riesgo inherente)</t>
  </si>
  <si>
    <t>N0</t>
  </si>
  <si>
    <t>EVENTO DE RIESGO</t>
  </si>
  <si>
    <t>CONTROL(ES)</t>
  </si>
  <si>
    <t>OBJETIVO DEL CONTROL</t>
  </si>
  <si>
    <t xml:space="preserve">CLASE DE CONTROL </t>
  </si>
  <si>
    <t>TIPO DE CONTROL</t>
  </si>
  <si>
    <t>PERIODICIDAD</t>
  </si>
  <si>
    <t>FORMA DE APLICACIÓN</t>
  </si>
  <si>
    <t>RESPONSABLE DE APROBACION</t>
  </si>
  <si>
    <t>RESPONSABLE DE IMPLEMENTACION</t>
  </si>
  <si>
    <t xml:space="preserve">RESPONSABLE DE MONITOREO </t>
  </si>
  <si>
    <t>RESPONSABLE DE REPORTE</t>
  </si>
  <si>
    <t>DESCRIPCION DE ACCIONES</t>
  </si>
  <si>
    <t>ESTADO DE ACCIONES</t>
  </si>
  <si>
    <t>NO ESTA DOCUMENTADO</t>
  </si>
  <si>
    <t>DOCUMENTADO</t>
  </si>
  <si>
    <t>APROBADO</t>
  </si>
  <si>
    <t>DIVULGADO</t>
  </si>
  <si>
    <t>NUNCA</t>
  </si>
  <si>
    <t xml:space="preserve">A DISCRESION </t>
  </si>
  <si>
    <t>SIEMPRE</t>
  </si>
  <si>
    <t>COMPROBADA EFECTIVIDAD</t>
  </si>
  <si>
    <t>COMPROBADA NO EFECTIVIDAD</t>
  </si>
  <si>
    <t>SCORE DE CALIFICACIÓN POR CONTROL</t>
  </si>
  <si>
    <t>SCORE DE CALIFICACIÓN POR RIESGO</t>
  </si>
  <si>
    <t>VALORACIÓN POR SCORE DE CALIFICACIÓN</t>
  </si>
  <si>
    <t>RANGO DE CALIFICACIÓN
(Calidad del Control)</t>
  </si>
  <si>
    <t>EVALUACIÓN 
(Según score de calificación)</t>
  </si>
  <si>
    <t>SCORE DE CALIFICACIÓN
(Calidad del Control)</t>
  </si>
  <si>
    <t>EFECTIVIDAD CONTROL</t>
  </si>
  <si>
    <r>
      <rPr>
        <b/>
        <sz val="10"/>
        <color rgb="FF000000"/>
        <rFont val="Calibri"/>
        <family val="2"/>
        <scheme val="minor"/>
      </rPr>
      <t>1.</t>
    </r>
    <r>
      <rPr>
        <sz val="10"/>
        <color rgb="FF000000"/>
        <rFont val="Calibri"/>
        <family val="2"/>
        <scheme val="minor"/>
      </rPr>
      <t xml:space="preserve"> El Oficial de Cumplimiento debe verificar, semestralmente o cada vez que se detecte alguna debilidad o recomendación, que la política de Atencion a Solicitudes y Requerimientos de Informacion por parte de las Autoridades Competentes y Entes Externos (la cual se encuentra en el Manual del Sistema de Administración de Riesgos de LA/FT/FPADM de la Loteria de Bogota) se encuentre debidamente actualizada y levantar un acta de revisión.
El Oficial de Cumplimiento debe cumplir con los pasos establecidos por el procedimiento PRO105-497 Atencion a Solicitudes de Informacion a Autoridades cuando se reciba una solicitud. De no ser posible seguir los pasos, se debe identificar el motivo y proceder a actualizar el procedimiento.
Como soporte, se tiene el acta de revision semestral de la Oficina Oficial de Cumpimiento, y cuando se realicen modificaciones al procedimiento, el acta de presentacion y aprobación por parte del Comite Institucional de Gestion y Desempeño CIGYD.</t>
    </r>
  </si>
  <si>
    <t>Mitigar el riesgo de LA/FT/FPADM, Asegurar el cumplimiento de la política, Asegurar el cumplimiento del procedimiento, cumplir con las exigencias legales, normativas y de las buenas prácticas.</t>
  </si>
  <si>
    <t>Políticas/procedimientos</t>
  </si>
  <si>
    <t>Preventivo</t>
  </si>
  <si>
    <t>Semanal</t>
  </si>
  <si>
    <t>Manual</t>
  </si>
  <si>
    <t>Oficial de Cumplimiento Principal y/o Suplente</t>
  </si>
  <si>
    <t>Reporte del resultado de la verificación y acta semestral.</t>
  </si>
  <si>
    <t>Continuo</t>
  </si>
  <si>
    <t>MAYOR 91</t>
  </si>
  <si>
    <t>EXCELENTE</t>
  </si>
  <si>
    <t>CRITICA</t>
  </si>
  <si>
    <r>
      <rPr>
        <b/>
        <sz val="10"/>
        <color rgb="FF000000"/>
        <rFont val="Calibri"/>
        <family val="2"/>
        <scheme val="minor"/>
      </rPr>
      <t xml:space="preserve">2 y 3. </t>
    </r>
    <r>
      <rPr>
        <sz val="10"/>
        <color rgb="FF000000"/>
        <rFont val="Calibri"/>
        <family val="2"/>
        <scheme val="minor"/>
      </rPr>
      <t>El responsable de atención al  cliente verifica semanalmente en el sistema "SDQS" de "Bogotá te escucha" las fechas de vencimiento de todas las PQRS.  El responsable de Atención al Cliente   debe identificar las PQRS proximas a vencer  y envía un correo electrónico al área correspondiente sobre el estado de la PQRS y solicita la pronta gestión al respecto.
Para el caso de las radicaciones por medio del Sistema integrado para la gestión de correspondencia y archivo físico documental SIGA, el responsable de radicación deberá realizar seguimiento al radicado, y verificará que los datos sean correctos.</t>
    </r>
  </si>
  <si>
    <t>Procedimientos</t>
  </si>
  <si>
    <t>Detectivo</t>
  </si>
  <si>
    <t>Mensual</t>
  </si>
  <si>
    <t>Combinado</t>
  </si>
  <si>
    <t>Encargade de Atencion al Cliente
Encargado de sistema de radicacion SIGA</t>
  </si>
  <si>
    <t>Encargade de Atencion al Cliente
Encragado de sistema de radicacion SIGA</t>
  </si>
  <si>
    <t>Líder de Proceso</t>
  </si>
  <si>
    <t>Reporte del resultado de la verificación.</t>
  </si>
  <si>
    <t>0 - 19</t>
  </si>
  <si>
    <t>Diario</t>
  </si>
  <si>
    <t>Automático</t>
  </si>
  <si>
    <t xml:space="preserve"> 61 A 90</t>
  </si>
  <si>
    <t>BUENA</t>
  </si>
  <si>
    <t>BAJA</t>
  </si>
  <si>
    <r>
      <rPr>
        <b/>
        <sz val="10"/>
        <color theme="1"/>
        <rFont val="Calibri"/>
        <family val="2"/>
        <scheme val="minor"/>
      </rPr>
      <t>3.</t>
    </r>
    <r>
      <rPr>
        <sz val="10"/>
        <color theme="1"/>
        <rFont val="Calibri"/>
        <family val="2"/>
        <scheme val="minor"/>
      </rPr>
      <t xml:space="preserve"> El Oficial de Cumplimiento verifica, consolida y solicita a las áreas de la entidad sus reportes en torno a la información solicitada y posteriormente la información se somete para aprobación por parte de la Secretaría General y el area jurídica antes del envio de la información al ente de control.
Como soporte, se tienen los correos de comunicación y/o memorandos radicados en el SIGA de las áreas de la entidad y el informe de entrega de la información.</t>
    </r>
  </si>
  <si>
    <t>Cada vez que se requiera</t>
  </si>
  <si>
    <t>20-60</t>
  </si>
  <si>
    <t>20 A 60</t>
  </si>
  <si>
    <t>Correctivo</t>
  </si>
  <si>
    <r>
      <t xml:space="preserve">1. </t>
    </r>
    <r>
      <rPr>
        <sz val="10"/>
        <color theme="1"/>
        <rFont val="Calibri"/>
        <family val="2"/>
        <scheme val="minor"/>
      </rPr>
      <t>El funcionario o contratista encargado debe solicitar al Oficial de Cumplimiento, vía memorando siga o correo electrónico institucional, la consulta en listas vinculantes y de control previo a cualquier tipo de relación contractual con personas naturales y jurídicas. 
La solicitud debe incluir copia del documento de identidad (para personas naturales) o certificado de existencia con generación no mayor a 30 días calendario (para personas jurídicas) junto al formato de vinculación respectivo. En caso de que el supervisor del contrato no suministre completamente estos documentos, el Oficial de Cumplimiento devolverá la solicitud hasta recibir la documentación correcta.
Una vez recibida la consulta en listas, el funcionario o contratista solicitante debe verificar que los datos usados para la consulta sean los correctos, revisar las notas y comentarios del formato y devolver el formato firmado al Oficial de Cumplimiento.
En caso de que se encuentren inconsistencias con la consulta en listas, el supervisor del contrato debe solicitar al Oficial de Cumplimiento corregir las inconsistencias encontradas. De encontrarse una coincidencia, el Oficial de Cumplimiento debe informar a la Secretaría General, Subgerencia General y Gerencia General con la recomendación de no concretar, o cancelar el proceso de vinculación. Posteriormente, el área encargada debe proceder a analizar el caso y decidir como continuar.
Como soporte se tienen el formato de consulta en listas firmado por el Oficial de Cumplimiento y el funcionario o contratista solicitante de la consulta.</t>
    </r>
  </si>
  <si>
    <t>Soportes de la solicitud de consulta</t>
  </si>
  <si>
    <t>61 - 90</t>
  </si>
  <si>
    <t xml:space="preserve"> 0 A 19</t>
  </si>
  <si>
    <r>
      <rPr>
        <b/>
        <sz val="10"/>
        <color theme="1"/>
        <rFont val="Calibri"/>
        <family val="2"/>
        <scheme val="minor"/>
      </rPr>
      <t>2.</t>
    </r>
    <r>
      <rPr>
        <sz val="10"/>
        <color theme="1"/>
        <rFont val="Calibri"/>
        <family val="2"/>
        <scheme val="minor"/>
      </rPr>
      <t xml:space="preserve"> El Oficial de Cumplimiento debe realizar de manera semestral una consulta en listas vinculantes y de control masiva, en donde se incluyan a todos los funcionarios, contratistas, proveedores, distribuidores, gestores y demás contrapartes que se encuentren vinculados a la Lotería de Bogotá. 
El Oficial de Cumplimiento debe solicitar, vía memorando SIGA o correo electrónico institucional, a la Oficina de Talento Humano, la Secretaria General, la Unidad de Apuestas y Control de Juegos, La Dirección de Operación de Productos y Comercialización y las demás áreas o unidades que considere, el listado actualizado de nombres completos y números de identificación para poder realizar las consultas en listas.
Las consultas en listas realizadas deben ser enviadas a las Oficinas, Unidades o Direcciones para verificar que los datos usados para la consulta sean los correctos, revisar las notas y comentarios del Oficial de Cumplimiento y devolver el formato firmado a la Oficina de Cumplimiento.
En caso de que se encuentren inconsistencias con la consulta en listas, profesional de cada oficina, debe solicitar al Oficial de Cumplimiento corregir las inconsistencias encontradas. De encontrarse una coincidencia, el Oficial de Cumplimiento debe informar a la Secretaría General, Subgerencia General y Gerencia General con la recomendación de no concretar, o cancelar el proceso de vinculación. Posteriormente, el área encargada debe proceder a analizar el caso y decidir como continuar.
Como soporte se registran los formatos de consulta en listas firmados por el Oficial de Cumplimiento y el profesional que revisó la información de los mismos.</t>
    </r>
  </si>
  <si>
    <t>Semestral</t>
  </si>
  <si>
    <t>&gt; 91</t>
  </si>
  <si>
    <t>Trimestral</t>
  </si>
  <si>
    <t>CLASE DE CONTROL</t>
  </si>
  <si>
    <r>
      <rPr>
        <b/>
        <sz val="10"/>
        <color rgb="FF000000"/>
        <rFont val="Calibri"/>
        <family val="2"/>
        <scheme val="minor"/>
      </rPr>
      <t>3.</t>
    </r>
    <r>
      <rPr>
        <sz val="10"/>
        <color rgb="FF000000"/>
        <rFont val="Calibri"/>
        <family val="2"/>
        <scheme val="minor"/>
      </rPr>
      <t xml:space="preserve"> El supervisor del contrato debe revisar, al momento de la vinculación, el correcto y completo diligenciamiento de todos los documentos solicitados en la lista de chequeo, entre los que se incluye el formato FRO330-532 Vinculación Persona Jurídica o el formato FRO330-533 Vinculación Persona Natural, FRO105-474.
El supervisor del contrato o el encargado de la verificación de la información debe comprobar que la información diligenciada en los formatos sea consistente con los demás documentos de la lista de chequeo y debe firmar la sección Nro. 7 denominada "verificación de la información" del formato de vinculación de persona natural/jurídica.
Cuando la información no se encuentre diligenciada de manera correcta o no se hayan entregado todos los documentos listados en la lista de chequeo, el supervisor del contrato o el encargado debe informar a la contraparte y solicitar el Re diligenciamiento de los formatos y/o la documentación faltante.
Como soporte se registran los formatos y documentos solicitados en la carpeta de contrato respectiva.</t>
    </r>
  </si>
  <si>
    <t>Secretaría General 
Talento Humano
Oficial de Cumplimiento Principal y/o Suplente</t>
  </si>
  <si>
    <t>Políticas</t>
  </si>
  <si>
    <r>
      <rPr>
        <b/>
        <sz val="10"/>
        <color rgb="FF000000"/>
        <rFont val="Calibri"/>
        <family val="2"/>
        <scheme val="minor"/>
      </rPr>
      <t xml:space="preserve">1. </t>
    </r>
    <r>
      <rPr>
        <sz val="10"/>
        <color rgb="FF000000"/>
        <rFont val="Calibri"/>
        <family val="2"/>
        <scheme val="minor"/>
      </rPr>
      <t>El funcionario o contratista encargado debe solicitar al Oficial de Cumplimiento, vía memorando siga o correo electrónico institucional, la consulta en listas vinculantes y de control previo a cualquier tipo de relación contractual con personas naturales y jurídicas. 
La solicitud debe incluir copia del documento de identidad (para personas naturales) o certificado de existencia con generación no mayor a 30 días calendario (para personas jurídicas) junto al formato de vinculación respectivo. En caso de que el supervisor del contrato no suministre completamente estos documentos, el Oficial de Cumplimiento devolverá la solicitud hasta recibir la documentación correcta.
Una vez recibida la consulta en listas, el funcionario o contratista solicitante debe verificar que los datos usados para la consulta sean los correctos, revisar las notas y comentarios del formato y devolver el formato firmado al Oficial de Cumplimiento. De encontrarse una coincidencia, el Oficial de Cumplimiento debe informar a la Secretaría General, Subgerencia General y Gerencia General con la recomendación de no concretar, o cancelar el proceso de vinculación. Posteriormente, el área encargada debe proceder a analizar el caso y decidir como continuar.
En caso de que se encuentren inconsistencias con la consulta en listas, el supervisor del contrato debe solicitar al Oficial de Cumplimiento corregir las inconsistencias encontradas.
Como soporte se tienen el formato de consulta en listas firmado por el Oficial de Cumplimiento y el funcionario o contratista solicitante de la consulta.</t>
    </r>
  </si>
  <si>
    <t>Anual</t>
  </si>
  <si>
    <t>Cada vez q se requiera</t>
  </si>
  <si>
    <t>Plan/Programa</t>
  </si>
  <si>
    <r>
      <rPr>
        <b/>
        <sz val="10"/>
        <color rgb="FF000000"/>
        <rFont val="Calibri"/>
        <family val="2"/>
        <scheme val="minor"/>
      </rPr>
      <t>3.</t>
    </r>
    <r>
      <rPr>
        <sz val="10"/>
        <color rgb="FF000000"/>
        <rFont val="Calibri"/>
        <family val="2"/>
        <scheme val="minor"/>
      </rPr>
      <t xml:space="preserve"> El Jefe de Tesorería o el encargado solicita copia del documento de identidad y verifica el correcto diligenciamiento del formato de Declaración Jurada de Origen de Fondos FRO105-570 (Para personas naturales) o FRO105-572 (Para personas jurídicas) de la persona que giró aparentemente por error el dinero. Adicionalmente, el Jefe de Tesorería o el encargado diligencia el formato FRO-105-513-1 Reportes al Oficial de Cumplimiento (teniendo en cuenta que el suceso corresponde a una operación inusual) y remite al Oficial de Cumplimiento junto con los demás documentos para que realice consulta en listas vinculantes y de control. El Oficial de Cumplimiento responde al Jefe de Tesorería concepto para la devolución del dinero.
Como soporte, se tiene el formato de declaracion de origen de fondos firmado por la contraparte, copia del documento de identidad, formato de reportes al Oficial de Cumplimiento y consulta en listas vinculantes y de control</t>
    </r>
  </si>
  <si>
    <t>Unidad Financiera y Contable (Tesorería)
Oficial de Cumplimiento Principal y/o Suplente</t>
  </si>
  <si>
    <r>
      <rPr>
        <b/>
        <sz val="10"/>
        <color rgb="FF000000"/>
        <rFont val="Calibri"/>
        <family val="2"/>
        <scheme val="minor"/>
      </rPr>
      <t>4.</t>
    </r>
    <r>
      <rPr>
        <sz val="10"/>
        <color rgb="FF000000"/>
        <rFont val="Calibri"/>
        <family val="2"/>
        <scheme val="minor"/>
      </rPr>
      <t xml:space="preserve"> La persona designada en la Unidad Financiera y Contable realiza conciliaciones bancarias de manera mensual, verificando usuarios y saldos de cuentas en libros auxiliares y en el balance general de la Lotería de Bogotá y se firman por el Jefe de la Unidad y por el contador.</t>
    </r>
  </si>
  <si>
    <t>Unidad Financiera y Contable (Funcionario Designado)</t>
  </si>
  <si>
    <t>Documento y/o formato firmado de origen de fondos</t>
  </si>
  <si>
    <t>Actividades de control</t>
  </si>
  <si>
    <r>
      <rPr>
        <b/>
        <sz val="10"/>
        <color theme="1"/>
        <rFont val="Calibri"/>
        <family val="2"/>
        <scheme val="minor"/>
      </rPr>
      <t>1.</t>
    </r>
    <r>
      <rPr>
        <sz val="10"/>
        <color theme="1"/>
        <rFont val="Calibri"/>
        <family val="2"/>
        <scheme val="minor"/>
      </rPr>
      <t xml:space="preserve"> El supervisor del contrato o convenio debe verificar si en el contrato o convenio se registra una cláusula de origen de fondos o en su defecto debe solicitar y confirmar el correcto diligenciamiento del formato de Declaración de Origen de Fondos FRO105-570 (Para personas naturales) o FRO105-572 (Para personas jurídicas) al momento de comenzar una relación con la contraparte, con el objetivo de obtener una declaración jurada de origen de fondos.
Como soporte, se tiene el formato de declaracion de origen de fondos firmado por la contraparte o el contrato o documento con la clausula específica.</t>
    </r>
  </si>
  <si>
    <t>Unidad Financiera y Contable (Cartera)</t>
  </si>
  <si>
    <r>
      <rPr>
        <b/>
        <sz val="10"/>
        <color theme="1"/>
        <rFont val="Calibri"/>
        <family val="2"/>
        <scheme val="minor"/>
      </rPr>
      <t>2.</t>
    </r>
    <r>
      <rPr>
        <sz val="10"/>
        <color theme="1"/>
        <rFont val="Calibri"/>
        <family val="2"/>
        <scheme val="minor"/>
      </rPr>
      <t xml:space="preserve"> La persona designada en la Unidad Financiera y Contable realiza conciliaciones bancarias de manera mensual, verificando usuarios y saldos de cuentas en libros auxiliares y en el balance general de la Lotería de Bogotá y se firman por el Jefe de la Unidad y por el contador.</t>
    </r>
  </si>
  <si>
    <r>
      <rPr>
        <b/>
        <sz val="10"/>
        <color theme="1"/>
        <rFont val="Calibri"/>
        <family val="2"/>
        <scheme val="minor"/>
      </rPr>
      <t>1.</t>
    </r>
    <r>
      <rPr>
        <sz val="10"/>
        <color theme="1"/>
        <rFont val="Calibri"/>
        <family val="2"/>
        <scheme val="minor"/>
      </rPr>
      <t xml:space="preserve"> El Oficial de Cumplimiento debe realizar, como mínimo una vez al año, capacitaciones en donde se explique en que consisten las señales de alerta, operaciones inusuales, operaciones sospechosas, tipologías, definición de Persona Expuesta Políticamente PEP y generalidades del Sistema de Administración de Riesgos de LA/FT/FPADM. Estas capacitaciones pueden ser realizadas con la asistencia de un ente externo o invitados y se deben calificar por medio de una evaluación o certificado de aprobación (en caso de que la capacitación sea realizada con la asistencia de un ente externo). 
Cuando se realice una evaluación se tendrá como marco de aprobación un porcentaje de respuestas correctas superior al 80%. En caso de que un colaborador no supere este umbral, este deberá realizar una evaluación de recuperación. Si no se aprueba el examen  de recuperación, el Oficial de Cumplimiento debe realizar una segunda capacitación.
Para fortalecer la cultura al interior de la Lotería de Bogotá en temas de LA/FT/FPADM, el Oficial de Cumplimiento debe realizar diversas socializaciones complementarias por medio de diferentes medios de difusión como correos electrónicos, mensajes por WhatsApp al grupo Institucional, imagenes en las carteleras de la entidad, entre otros.
Como soporte, se tienen los examenes presentados y/o los certificados de aprobación de la capacitación.</t>
    </r>
  </si>
  <si>
    <t>Soportes de la capacitación.</t>
  </si>
  <si>
    <r>
      <rPr>
        <b/>
        <sz val="10"/>
        <color theme="1"/>
        <rFont val="Calibri"/>
        <family val="2"/>
        <scheme val="minor"/>
      </rPr>
      <t>2.</t>
    </r>
    <r>
      <rPr>
        <sz val="10"/>
        <color theme="1"/>
        <rFont val="Calibri"/>
        <family val="2"/>
        <scheme val="minor"/>
      </rPr>
      <t xml:space="preserve"> En el contrato del funcionario o contratista se debe registrar una clausula de confidencialidad, si no lo registra, se debe diligenciar el formato FRO105-514 Acuerdo de Confidencialidad al iniciar su vínculo y se archiva copia en su Hoja de Vida.
Como soporte, se registran los anexos contractuales o el Acuerdo de Confidencialidad firmado por el colaborador.</t>
    </r>
  </si>
  <si>
    <t>Documento y/o formato firmado de declaracion de confidencialidad</t>
  </si>
  <si>
    <r>
      <rPr>
        <b/>
        <sz val="10"/>
        <color theme="1"/>
        <rFont val="Calibri"/>
        <family val="2"/>
        <scheme val="minor"/>
      </rPr>
      <t>1.</t>
    </r>
    <r>
      <rPr>
        <sz val="10"/>
        <color theme="1"/>
        <rFont val="Calibri"/>
        <family val="2"/>
        <scheme val="minor"/>
      </rPr>
      <t xml:space="preserve"> El Oficial de Cumplimiento consulta semestralmente a todas las áreas de la entidad vía correo electrónico institucional y/o memorando interno por medio del SIGA si registran señales de alerta y/u operaciones inusuales y les realiza la invitación a diligenciar el Formato "FRO105-513 Reportes al Oficial de Cumplimiento" de las alertas que se identifiquen por parte de todos los servidores públicos y contratistas.</t>
    </r>
  </si>
  <si>
    <t>Correos y memorandos de comunicacion</t>
  </si>
  <si>
    <r>
      <rPr>
        <b/>
        <sz val="10"/>
        <color theme="1"/>
        <rFont val="Calibri"/>
        <family val="2"/>
        <scheme val="minor"/>
      </rPr>
      <t xml:space="preserve">2. </t>
    </r>
    <r>
      <rPr>
        <sz val="10"/>
        <color theme="1"/>
        <rFont val="Calibri"/>
        <family val="2"/>
        <scheme val="minor"/>
      </rPr>
      <t>El Oficial de Cumplimiento debe elaborar y enviar memorando a los Servidores Públicos y/o Contratistas identificados como Personas Expuestas Políticamente al interior de la entidad según el Decreto 830 de 2021, solicitando el diligenciamiento del Formato FRO105-546-1.
Seguido a esto, el Oficial de Cumplimiento realiza revisión y validación del formato recibido y firma con visto bueno en el documento revisado.</t>
    </r>
  </si>
  <si>
    <t>Soportes del formato debidamente diligenciado</t>
  </si>
  <si>
    <r>
      <rPr>
        <b/>
        <sz val="10"/>
        <color theme="1"/>
        <rFont val="Calibri"/>
        <family val="2"/>
        <scheme val="minor"/>
      </rPr>
      <t>3.</t>
    </r>
    <r>
      <rPr>
        <sz val="10"/>
        <color theme="1"/>
        <rFont val="Calibri"/>
        <family val="2"/>
        <scheme val="minor"/>
      </rPr>
      <t xml:space="preserve"> El Oficial de Cumplimiento realiza revisión de los formatos FRO330-532 Vinculación Persona Jurídica, FRO330-533 Vinculación Persona Natural cada vez que se realice la revisión semestral de carpetas de contratación, o cada vez que se requiera, y revisa si se identificó una Persona Políticamente Expuesta (PEP) en la sección Nro. 1 del formulario denominada "Información General".
La contraparte se identificará como una contraparte de Alto Riesgo y se le realizará un monitoreo semestral.</t>
    </r>
  </si>
  <si>
    <r>
      <t xml:space="preserve">1. </t>
    </r>
    <r>
      <rPr>
        <sz val="10"/>
        <color theme="1"/>
        <rFont val="Calibri"/>
        <family val="2"/>
        <scheme val="minor"/>
      </rPr>
      <t>El funcionario o contratista encargado debe solicitar al Oficial de Cumplimiento, vía memorando siga o correo electrónico institucional, la consulta en listas vinculantes y de control previo a cualquier tipo de relación contractual con personas naturales y jurídicas. 
La solicitud debe incluir copia del documento de identidad (para personas naturales) o certificado de existencia con generación no mayor a 30 días calendario (para personas jurídicas) junto al formato de vinculación respectivo. En caso de que el supervisor del contrato no suministre completamente estos documentos, el Oficial de Cumplimiento devolverá la solicitud hasta recibir la documentación correcta.
Una vez recibida la consulta en listas, el funcionario o contratista solicitante debe verificar que los datos usados para la consulta sean los correctos, revisar las notas y comentarios del formato y devolver el formato firmado al Oficial de Cumplimiento.
En caso de que se encuentren inconsistencias con la consulta en listas, el supervisor del contrato debe solicitar al Oficial de Cumplimiento corregir las inconsistencias encontradas.
Como soporte se tienen el formato de consulta en listas firmado por el Oficial de Cumplimiento y el funcionario o contratista solicitante de la consulta.</t>
    </r>
  </si>
  <si>
    <r>
      <rPr>
        <b/>
        <sz val="10"/>
        <color theme="1"/>
        <rFont val="Calibri"/>
        <family val="2"/>
        <scheme val="minor"/>
      </rPr>
      <t>2.</t>
    </r>
    <r>
      <rPr>
        <sz val="10"/>
        <color theme="1"/>
        <rFont val="Calibri"/>
        <family val="2"/>
        <scheme val="minor"/>
      </rPr>
      <t xml:space="preserve"> El Oficial de Cumplimiento debe realizar de manera semestral una consulta en listas vinculantes y de control masiva, en donde se incluyan a todos los funcionarios, contratistas, proveedores, distribuidores, gestores y demás contrapartes que se encuentren vinculados a la Lotería de Bogotá. 
El Oficial de Cumplimiento debe solicitar, vía memorando SIGA o correo electrónico institucional, a la Oficina de Talento Humano, la Secretaria General, la Unidad de Apuestas y Control de Juegos, La Dirección de Operación de Productos y Comercialización y las demás áreas o unidades que considere, el listado actualizado de nombres completos y números de identificación para poder realizar las consultas en listas.
Las consultas en listas realizadas deben ser enviadas a las Oficinas, Unidades o Direcciones para verificar que los datos usados para la consulta sean los correctos, revisar las notas y comentarios del Oficial de Cumplimiento y devolver el formato firmado a la Oficina de Cumplimiento.
En caso de que se encuentren inconsistencias con la consulta en listas, profesional de cada oficina, debe solicitar al Oficial de Cumplimiento corregir las inconsistencias encontradas.
Como soporte se registran los formatos de consulta en listas firmados por el Oficial de Cumplimiento y el profesional que revisó la información de los mismos.</t>
    </r>
  </si>
  <si>
    <r>
      <rPr>
        <b/>
        <sz val="10"/>
        <color theme="1"/>
        <rFont val="Calibri"/>
        <family val="2"/>
        <scheme val="minor"/>
      </rPr>
      <t>3.</t>
    </r>
    <r>
      <rPr>
        <sz val="10"/>
        <color theme="1"/>
        <rFont val="Calibri"/>
        <family val="2"/>
        <scheme val="minor"/>
      </rPr>
      <t xml:space="preserve"> El community manager constata mensualmente en la herramienta Google Alerts las notificaciones de menciones de la Lotería de Bogotá y registra en su informe mensual los resultados registrados.</t>
    </r>
  </si>
  <si>
    <t>Community Manager</t>
  </si>
  <si>
    <t>Soportes de las alertas</t>
  </si>
  <si>
    <r>
      <rPr>
        <b/>
        <sz val="10"/>
        <color rgb="FF000000"/>
        <rFont val="Calibri"/>
        <family val="2"/>
        <scheme val="minor"/>
      </rPr>
      <t xml:space="preserve">3. </t>
    </r>
    <r>
      <rPr>
        <sz val="10"/>
        <color rgb="FF000000"/>
        <rFont val="Calibri"/>
        <family val="2"/>
        <scheme val="minor"/>
      </rPr>
      <t>El web master o el encargado de la Oficina de Gestión Tecnológica e Innovación realiza semestralmente revisión de los usuarios registrados en la página web de la entidad, para verificar si la información inscrita es correcta y válida. 
En caso de que se registren inconsistencias, se informa al Oficial de Cumplimiento y a la Dirección de Operación de Productos y Comercialización y se analizan los usuarios para proceder a bloquear y/o comunicarse con ellos para que subsanen su registro en la página web de la Lotería de Bogotá</t>
    </r>
  </si>
  <si>
    <t>Oficial de Protección de Datos -
Oficina de Gestión Tecnológica e Innovación.</t>
  </si>
  <si>
    <r>
      <t xml:space="preserve">1. </t>
    </r>
    <r>
      <rPr>
        <sz val="10"/>
        <color theme="1"/>
        <rFont val="Calibri"/>
        <family val="2"/>
        <scheme val="minor"/>
      </rPr>
      <t>El funcionario o contratista encargado debe solicitar al Oficial de Cumplimiento, vía memorando siga o correo electrónico institucional, la consulta en listas vinculantes y de control previo al pago de premios según los montos establecidos en el Acuerdo 574 de 2021 del CNJSA.
La solicitud debe incluir copia del documento de identidad del ganador. Una vez recibida la consulta en listas, el funcionario o contratista solicitante debe verificar que los datos usados para la consulta sean los correctos, revisar las notas y comentarios del formato y devolver el formato firmado al Oficial de Cumplimiento.
En caso de que se encuentren inconsistencias con la consulta en listas, el supervisor del contrato debe solicitar al Oficial de Cumplimiento corregir las inconsistencias encontradas. De detectarse una coincidencia en listas, se debe congelar la entrega del premio y realizar lo descrito por el procedimiento FRO105-525 Sanciones Financieras Dirigidas.
Como soporte se tienen el formato de consulta en listas firmado por el Oficial de Cumplimiento y el funcionario o contratista solicitante de la consulta.</t>
    </r>
  </si>
  <si>
    <r>
      <rPr>
        <b/>
        <sz val="10"/>
        <color theme="1"/>
        <rFont val="Calibri"/>
        <family val="2"/>
        <scheme val="minor"/>
      </rPr>
      <t xml:space="preserve">2. </t>
    </r>
    <r>
      <rPr>
        <sz val="10"/>
        <color theme="1"/>
        <rFont val="Calibri"/>
        <family val="2"/>
        <scheme val="minor"/>
      </rPr>
      <t>El funcionario o contratista encargado debe verificar el correcto y completo diligenciamiento del formato FRO-400-300 Identificador de Ganador de Loterías y el formato FRO-420-473 Identificador de Ganador de Rifas y Promocionales según corresponda. Adicionalmente, realiza revisión y validación del formato recibido y firma con visto bueno en el documento revisado.</t>
    </r>
  </si>
  <si>
    <t>Unidad de Apuestas y Control de Juegos
Direccion de Operacion de Productos y Comercializacion</t>
  </si>
  <si>
    <r>
      <rPr>
        <b/>
        <sz val="10"/>
        <color rgb="FF000000"/>
        <rFont val="Calibri"/>
        <family val="2"/>
        <scheme val="minor"/>
      </rPr>
      <t>1.</t>
    </r>
    <r>
      <rPr>
        <sz val="10"/>
        <color rgb="FF000000"/>
        <rFont val="Calibri"/>
        <family val="2"/>
        <scheme val="minor"/>
      </rPr>
      <t xml:space="preserve"> La Subgerencia Comercial y de Operaciones debe realizar periódicamente campañas de concientización en contra del juego ilegal de chance y lotería e incentivando el juego legal  a grupos focalizados y a la ciudadania en general, por medio de los canales de comunicación que tenga a disposición.
Como soporte se tienen las evidencias de las campañas realizadas por parte de la Subgerencia Comercial.</t>
    </r>
  </si>
  <si>
    <t>Direccion de Operacion de Productos y Comercializacion</t>
  </si>
  <si>
    <t>Documento de entrega</t>
  </si>
  <si>
    <r>
      <rPr>
        <b/>
        <sz val="10"/>
        <color theme="1"/>
        <rFont val="Calibri"/>
        <family val="2"/>
        <scheme val="minor"/>
      </rPr>
      <t>1.</t>
    </r>
    <r>
      <rPr>
        <sz val="10"/>
        <color theme="1"/>
        <rFont val="Calibri"/>
        <family val="2"/>
        <scheme val="minor"/>
      </rPr>
      <t xml:space="preserve"> El funcionario o contratista encargado debe entregar al Oficial de Cumplimiento, vía memorando siga o correo electrónico institucional, la consulta en listas vinculantes y de control realizada por gestores o distribuidores, o en su defecto, la solicitud de consulta en listas vinculantes y de control en caso de que el distribuidor gestor no esté en capacidad de realizar la consulta.
Cuando se solicite una consulta en listas por parte de un gestor o distribuidor, el funcionario o contratista encargado debe entregar al Oficial de Cumplimiento la documentación necesaria.
Cuando se reciba una consulta realizada por un gestor o distribuidor, el Oficial de Cumplimiento debe verificar la información recibida, realizando una consulta en listas independiente.
En caso de que se encuentren inconsistencias con la consulta en listas, el Oficial de Cumplimiento debe informar al funcionario o contratista encargado y solicitar la corrección de la información. De detectarse una coincidencia en listas, se debe congelar la entrega del premio y realizar lo descrito por el procedimiento FRO105-525 Sanciones Financieras Dirigidas.
Como soporte se tienen el formato de consulta en listas firmado por el Oficial de Cumplimiento y el funcionario o contratista solicitante.</t>
    </r>
  </si>
  <si>
    <r>
      <rPr>
        <b/>
        <sz val="10"/>
        <color theme="1"/>
        <rFont val="Calibri"/>
        <family val="2"/>
        <scheme val="minor"/>
      </rPr>
      <t xml:space="preserve">3. </t>
    </r>
    <r>
      <rPr>
        <sz val="10"/>
        <color theme="1"/>
        <rFont val="Calibri"/>
        <family val="2"/>
        <scheme val="minor"/>
      </rPr>
      <t>El Oficial de Cumplimiento realiza nuevamente (después de la consulta que ya hayan realizado los distribuidores y los gestores antes de pagar o entregar el premio) la consulta en listas vinculantes y de control de ganadores de premios en especie y en dinero pagado por los distribuidores y los gestores según los montos establecidos en el Artículo 18.1.4.3.3. del Acuerdo 574 de 2021 del CNJSA, para verificar la información suministrada por los distribuidores y los gestores.</t>
    </r>
  </si>
  <si>
    <r>
      <rPr>
        <b/>
        <sz val="10"/>
        <color theme="1"/>
        <rFont val="Calibri"/>
        <family val="2"/>
        <scheme val="minor"/>
      </rPr>
      <t xml:space="preserve">1. </t>
    </r>
    <r>
      <rPr>
        <sz val="10"/>
        <color theme="1"/>
        <rFont val="Calibri"/>
        <family val="2"/>
        <scheme val="minor"/>
      </rPr>
      <t>El contratista de apoyo de la oficina de cumplimiento o el Oficial de Cumplimiento, realizará un informe mensual de los ganadores de premios, analizando y cruzando información en diversas bases de datos de la entidad los clientes ganadores para verificar si son ganadores únicos o son ganadores de múltiples premios y modalidades (rifas, apuestas permanentes, promocionales y lotería).
Si se registran señales de alerta u operaciones inusuales se realiza la respectiva investigación, y se reporta como operación sospechosa ante la Unidad de Información y Análisis Financiero UIAF según el procedimiento PRO105-520 Reportes a la Unidad de Información y Análisis Financiero UIAF</t>
    </r>
  </si>
  <si>
    <t>Reporte de Revision de Ganadores</t>
  </si>
  <si>
    <r>
      <rPr>
        <b/>
        <sz val="10"/>
        <color theme="1"/>
        <rFont val="Calibri"/>
        <family val="2"/>
        <scheme val="minor"/>
      </rPr>
      <t xml:space="preserve">1. </t>
    </r>
    <r>
      <rPr>
        <sz val="10"/>
        <color theme="1"/>
        <rFont val="Calibri"/>
        <family val="2"/>
        <scheme val="minor"/>
      </rPr>
      <t>El Oficial de Cumplimiento, como mínimo una vez al año, realizará una auditoría al concesionario para verificar el cumplimiento del Acuerdo 574 de 2021 del Consejo Nacional de Juegos de Suerte y Azar CNJSA. De la visita elaborará un informe con las conformidades, los hallazgos y las recomendaciones y realizará seguimiento a las respuestas del concesionario para que subsane lo encontrado.</t>
    </r>
  </si>
  <si>
    <t>Informe de Auditoria</t>
  </si>
  <si>
    <t>Riesgo Residual</t>
  </si>
  <si>
    <t>Prob Conse Resid</t>
  </si>
  <si>
    <t>Val Conse Resid</t>
  </si>
  <si>
    <t>INCIDENCIA DEL TOTAL DE CONTROLES SOBRE EL RIESGO</t>
  </si>
  <si>
    <t>PROBA INHE</t>
  </si>
  <si>
    <t>VALORA CONSE INHER</t>
  </si>
  <si>
    <t>INHERENTE</t>
  </si>
  <si>
    <t>RESIDUAL</t>
  </si>
  <si>
    <t>PROBABILIDAD RESIDUAL</t>
  </si>
  <si>
    <t>VALORACIÓN CONSECUENCIA RESIDUAL</t>
  </si>
  <si>
    <t>RIESGO RESIDUAL</t>
  </si>
  <si>
    <t>Tratamiento del riesgo</t>
  </si>
  <si>
    <t>No.</t>
  </si>
  <si>
    <t>Proceso/Área de práctica</t>
  </si>
  <si>
    <t>Factor de Riesgo</t>
  </si>
  <si>
    <t>Cod Proceso</t>
  </si>
  <si>
    <t>Cod Riesgo</t>
  </si>
  <si>
    <t>Valoración Score</t>
  </si>
  <si>
    <t>Valoración</t>
  </si>
  <si>
    <t>RI:</t>
  </si>
  <si>
    <t>Riesgo Inherente</t>
  </si>
  <si>
    <r>
      <rPr>
        <b/>
        <sz val="14"/>
        <color theme="1"/>
        <rFont val="Candara"/>
        <family val="2"/>
      </rPr>
      <t>NOTA:</t>
    </r>
    <r>
      <rPr>
        <sz val="14"/>
        <color theme="1"/>
        <rFont val="Candara"/>
        <family val="2"/>
      </rPr>
      <t xml:space="preserve"> La definición de los riesgos inherente y residual, riesgos por factor de riesgo y riesgos por proceso se realizan con el promedio aritmético de las probabilidades e impactos de cada uno de los riesgos asociados.</t>
    </r>
  </si>
  <si>
    <t>RR:</t>
  </si>
  <si>
    <t>PROCESOS</t>
  </si>
  <si>
    <t>CODIGO SUBPROCESO</t>
  </si>
  <si>
    <t>FACTORES</t>
  </si>
  <si>
    <t>ESTADOS</t>
  </si>
  <si>
    <t>Administración</t>
  </si>
  <si>
    <t>Gestión de Compras</t>
  </si>
  <si>
    <t>Clientes / Usuarios / Contrapartes</t>
  </si>
  <si>
    <t>Pérdidas económicas</t>
  </si>
  <si>
    <t>No iniciada</t>
  </si>
  <si>
    <t>Cobros</t>
  </si>
  <si>
    <t>Control de seguridad en las instalaciones</t>
  </si>
  <si>
    <t>Productos</t>
  </si>
  <si>
    <t>Sanciones legales</t>
  </si>
  <si>
    <t>En curso</t>
  </si>
  <si>
    <t>Política de cobros</t>
  </si>
  <si>
    <t>Canales de Distribución</t>
  </si>
  <si>
    <t>Pérdida de reputación</t>
  </si>
  <si>
    <t>Créditos</t>
  </si>
  <si>
    <t>Cobranza</t>
  </si>
  <si>
    <t>Pérdida de mercado</t>
  </si>
  <si>
    <t>Cancelada</t>
  </si>
  <si>
    <t>Mercadeo</t>
  </si>
  <si>
    <t>Cobro jurídico y prejurídico</t>
  </si>
  <si>
    <t>Pérdida de clientes</t>
  </si>
  <si>
    <t>Evaluada</t>
  </si>
  <si>
    <t>Seguros</t>
  </si>
  <si>
    <t>Nuevos arreglos y refinanciación</t>
  </si>
  <si>
    <t>Pérdida de certificaciones</t>
  </si>
  <si>
    <t>Prácticas LAFT</t>
  </si>
  <si>
    <t>Recuperación, custodia y venta de vehículos</t>
  </si>
  <si>
    <t>Mayor exposición de la compañía al LAFT</t>
  </si>
  <si>
    <t>Archivo y control de documentos contables</t>
  </si>
  <si>
    <t>LAFT 3</t>
  </si>
  <si>
    <t>Deterioro de los controles operativos</t>
  </si>
  <si>
    <t>Revisión y control de cortes de caja</t>
  </si>
  <si>
    <t>Política de Gestión de compras</t>
  </si>
  <si>
    <t>Caja menor</t>
  </si>
  <si>
    <t>Pago a proveedores y elaboración de transferencias</t>
  </si>
  <si>
    <t>Cumplimiento de obligaciones tributarias</t>
  </si>
  <si>
    <t>Registro de facturas radicadas y pasivos estimados</t>
  </si>
  <si>
    <t>Archivo y custodia de información documentada del negocio</t>
  </si>
  <si>
    <t>LAFT 4</t>
  </si>
  <si>
    <t>Escaneo de documentación de negocios</t>
  </si>
  <si>
    <t>Política de créditos</t>
  </si>
  <si>
    <t>Documentación de negocios</t>
  </si>
  <si>
    <t>Formalización del crédito</t>
  </si>
  <si>
    <t>Recepción y contabilización de negocios a desembolsar</t>
  </si>
  <si>
    <t>Verificación y análisis de referencias</t>
  </si>
  <si>
    <t>Manejo de PQR</t>
  </si>
  <si>
    <t>Administración de seguros cobros</t>
  </si>
  <si>
    <t>Administración de seguros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</si>
</sst>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00"/>
    <numFmt numFmtId="166" formatCode="0.000000"/>
    <numFmt numFmtId="167" formatCode="0.0"/>
  </numFmts>
  <fonts count="38"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0"/>
      <name val="Calibri"/>
      <family val="2"/>
      <scheme val="minor"/>
    </font>
    <font>
      <sz val="10"/>
      <color indexed="64"/>
      <name val="Arial"/>
      <family val="2"/>
    </font>
    <font>
      <b/>
      <sz val="14"/>
      <color theme="0"/>
      <name val="Candara"/>
      <family val="2"/>
    </font>
    <font>
      <b/>
      <sz val="12"/>
      <color theme="0"/>
      <name val="Candara"/>
      <family val="2"/>
    </font>
    <font>
      <b/>
      <sz val="18"/>
      <color theme="0"/>
      <name val="Candara"/>
      <family val="2"/>
    </font>
    <font>
      <b/>
      <sz val="18"/>
      <name val="Candara"/>
      <family val="2"/>
    </font>
    <font>
      <sz val="10"/>
      <color theme="1"/>
      <name val="Arial"/>
      <family val="2"/>
    </font>
    <font>
      <sz val="8"/>
      <color theme="1"/>
      <name val="Calibri"/>
      <family val="2"/>
      <scheme val="minor"/>
    </font>
    <font>
      <sz val="11"/>
      <name val="Calibri"/>
      <family val="2"/>
      <scheme val="minor"/>
    </font>
    <font>
      <sz val="11"/>
      <color theme="0"/>
      <name val="Calibri"/>
      <family val="2"/>
      <scheme val="minor"/>
    </font>
    <font>
      <sz val="14"/>
      <color theme="1"/>
      <name val="Candara"/>
      <family val="2"/>
    </font>
    <font>
      <b/>
      <sz val="14"/>
      <color theme="1"/>
      <name val="Candara"/>
      <family val="2"/>
    </font>
    <font>
      <sz val="12"/>
      <color theme="1" tint="0.499984740745262"/>
      <name val="Candara"/>
      <family val="2"/>
    </font>
    <font>
      <b/>
      <sz val="12"/>
      <color theme="1" tint="0.499984740745262"/>
      <name val="Candara"/>
      <family val="2"/>
    </font>
    <font>
      <b/>
      <sz val="10"/>
      <color theme="0"/>
      <name val="Candara"/>
      <family val="2"/>
    </font>
    <font>
      <b/>
      <sz val="10"/>
      <color theme="1"/>
      <name val="Calibri"/>
      <family val="2"/>
      <scheme val="minor"/>
    </font>
    <font>
      <sz val="12"/>
      <name val="Calibri"/>
      <family val="2"/>
      <scheme val="minor"/>
    </font>
    <font>
      <b/>
      <sz val="11"/>
      <color theme="0"/>
      <name val="Calibri"/>
      <family val="2"/>
      <scheme val="minor"/>
    </font>
    <font>
      <b/>
      <sz val="11"/>
      <name val="Calibri"/>
      <family val="2"/>
      <scheme val="minor"/>
    </font>
    <font>
      <sz val="8"/>
      <name val="Calibri"/>
      <family val="2"/>
      <scheme val="minor"/>
    </font>
    <font>
      <sz val="11"/>
      <color rgb="FFFF0000"/>
      <name val="Calibri"/>
      <family val="2"/>
      <scheme val="minor"/>
    </font>
    <font>
      <b/>
      <sz val="10"/>
      <color theme="0"/>
      <name val="Arial"/>
      <family val="2"/>
    </font>
    <font>
      <sz val="9"/>
      <color rgb="FF000000"/>
      <name val="Calibri"/>
      <family val="2"/>
      <scheme val="minor"/>
    </font>
    <font>
      <b/>
      <sz val="12"/>
      <color theme="0"/>
      <name val="Calibri"/>
      <family val="2"/>
      <scheme val="minor"/>
    </font>
    <font>
      <b/>
      <sz val="12"/>
      <name val="Candara"/>
      <family val="2"/>
    </font>
    <font>
      <b/>
      <sz val="12"/>
      <color theme="1"/>
      <name val="Candara"/>
      <family val="2"/>
    </font>
    <font>
      <b/>
      <sz val="10"/>
      <color rgb="FF000000"/>
      <name val="Calibri"/>
      <family val="2"/>
      <scheme val="minor"/>
    </font>
    <font>
      <sz val="10"/>
      <color rgb="FF000000"/>
      <name val="Calibri"/>
      <family val="2"/>
      <scheme val="minor"/>
    </font>
    <font>
      <b/>
      <sz val="14"/>
      <name val="Candara"/>
      <family val="2"/>
    </font>
    <font>
      <b/>
      <sz val="14"/>
      <color rgb="FF000000"/>
      <name val="Candara"/>
      <family val="2"/>
    </font>
    <font>
      <b/>
      <sz val="12"/>
      <color rgb="FF808080"/>
      <name val="Candara"/>
      <family val="2"/>
    </font>
  </fonts>
  <fills count="2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33CC33"/>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indexed="22"/>
        <bgColor indexed="64"/>
      </patternFill>
    </fill>
    <fill>
      <patternFill patternType="solid">
        <fgColor rgb="FF99CC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rgb="FFED3338"/>
        <bgColor indexed="64"/>
      </patternFill>
    </fill>
    <fill>
      <patternFill patternType="solid">
        <fgColor rgb="FFEC3338"/>
        <bgColor indexed="64"/>
      </patternFill>
    </fill>
    <fill>
      <patternFill patternType="solid">
        <fgColor rgb="FF980B27"/>
        <bgColor indexed="64"/>
      </patternFill>
    </fill>
    <fill>
      <patternFill patternType="solid">
        <fgColor theme="6"/>
        <bgColor indexed="64"/>
      </patternFill>
    </fill>
    <fill>
      <patternFill patternType="solid">
        <fgColor rgb="FF00B050"/>
        <bgColor indexed="64"/>
      </patternFill>
    </fill>
    <fill>
      <patternFill patternType="solid">
        <fgColor theme="9" tint="-0.249977111117893"/>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double">
        <color theme="0" tint="-0.24994659260841701"/>
      </left>
      <right style="double">
        <color theme="0" tint="-0.24994659260841701"/>
      </right>
      <top style="double">
        <color theme="0" tint="-0.24994659260841701"/>
      </top>
      <bottom style="double">
        <color theme="0" tint="-0.24994659260841701"/>
      </bottom>
      <diagonal/>
    </border>
    <border>
      <left style="double">
        <color theme="0" tint="-0.24994659260841701"/>
      </left>
      <right style="double">
        <color theme="0" tint="-0.24994659260841701"/>
      </right>
      <top style="double">
        <color theme="0" tint="-0.24994659260841701"/>
      </top>
      <bottom style="double">
        <color indexed="64"/>
      </bottom>
      <diagonal/>
    </border>
    <border>
      <left style="double">
        <color theme="0" tint="-0.24994659260841701"/>
      </left>
      <right/>
      <top style="double">
        <color theme="0" tint="-0.24994659260841701"/>
      </top>
      <bottom style="double">
        <color theme="0" tint="-0.24994659260841701"/>
      </bottom>
      <diagonal/>
    </border>
    <border>
      <left/>
      <right style="double">
        <color theme="0" tint="-0.24994659260841701"/>
      </right>
      <top style="double">
        <color theme="0" tint="-0.24994659260841701"/>
      </top>
      <bottom style="double">
        <color theme="0" tint="-0.24994659260841701"/>
      </bottom>
      <diagonal/>
    </border>
    <border>
      <left style="double">
        <color theme="0" tint="-0.24994659260841701"/>
      </left>
      <right style="double">
        <color theme="0" tint="-0.24994659260841701"/>
      </right>
      <top style="double">
        <color indexed="64"/>
      </top>
      <bottom/>
      <diagonal/>
    </border>
    <border>
      <left style="thin">
        <color theme="0" tint="-0.24994659260841701"/>
      </left>
      <right style="thin">
        <color theme="0" tint="-0.24994659260841701"/>
      </right>
      <top/>
      <bottom/>
      <diagonal/>
    </border>
    <border>
      <left style="double">
        <color theme="0" tint="-0.24994659260841701"/>
      </left>
      <right style="double">
        <color theme="0" tint="-0.24994659260841701"/>
      </right>
      <top style="double">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style="thin">
        <color theme="0" tint="-0.34998626667073579"/>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3" fillId="0" borderId="0"/>
    <xf numFmtId="9" fontId="1" fillId="0" borderId="0" applyFont="0" applyFill="0" applyBorder="0" applyAlignment="0" applyProtection="0"/>
    <xf numFmtId="164" fontId="8" fillId="0" borderId="0" applyFont="0" applyFill="0" applyBorder="0" applyAlignment="0" applyProtection="0"/>
    <xf numFmtId="0" fontId="3" fillId="0" borderId="0"/>
    <xf numFmtId="0" fontId="1" fillId="0" borderId="0"/>
    <xf numFmtId="164" fontId="3" fillId="0" borderId="0" applyFont="0" applyFill="0" applyBorder="0" applyAlignment="0" applyProtection="0"/>
  </cellStyleXfs>
  <cellXfs count="255">
    <xf numFmtId="0" fontId="0" fillId="0" borderId="0" xfId="0"/>
    <xf numFmtId="0" fontId="0" fillId="0" borderId="0" xfId="0" applyAlignment="1">
      <alignment horizontal="center"/>
    </xf>
    <xf numFmtId="0" fontId="6" fillId="7" borderId="0" xfId="0" applyFont="1" applyFill="1" applyAlignment="1">
      <alignment horizontal="center" vertical="center" wrapText="1"/>
    </xf>
    <xf numFmtId="0" fontId="6" fillId="7" borderId="0" xfId="0" applyFont="1" applyFill="1"/>
    <xf numFmtId="0" fontId="6" fillId="7" borderId="0" xfId="0" applyFont="1" applyFill="1" applyAlignment="1">
      <alignment horizontal="center" vertical="center"/>
    </xf>
    <xf numFmtId="0" fontId="2" fillId="0" borderId="0" xfId="0" applyFont="1"/>
    <xf numFmtId="0" fontId="5" fillId="7" borderId="0" xfId="0" applyFont="1" applyFill="1" applyAlignment="1">
      <alignment horizontal="center" vertical="center" wrapText="1"/>
    </xf>
    <xf numFmtId="0" fontId="2" fillId="9" borderId="1" xfId="0" applyFont="1" applyFill="1" applyBorder="1"/>
    <xf numFmtId="0" fontId="0" fillId="0" borderId="1" xfId="0" applyBorder="1"/>
    <xf numFmtId="0" fontId="2" fillId="9" borderId="2" xfId="0" applyFont="1" applyFill="1" applyBorder="1"/>
    <xf numFmtId="0" fontId="0" fillId="0" borderId="3" xfId="0" applyBorder="1"/>
    <xf numFmtId="0" fontId="0" fillId="0" borderId="4" xfId="0" applyBorder="1"/>
    <xf numFmtId="0" fontId="0" fillId="0" borderId="7" xfId="0" applyBorder="1"/>
    <xf numFmtId="0" fontId="0" fillId="0" borderId="5" xfId="0" applyBorder="1" applyAlignment="1">
      <alignment vertical="center"/>
    </xf>
    <xf numFmtId="0" fontId="14" fillId="0" borderId="0" xfId="0" applyFont="1"/>
    <xf numFmtId="0" fontId="15" fillId="0" borderId="0" xfId="0" applyFont="1"/>
    <xf numFmtId="0" fontId="4" fillId="7" borderId="0" xfId="0" applyFont="1" applyFill="1" applyAlignment="1">
      <alignment horizontal="center" vertical="center" wrapText="1"/>
    </xf>
    <xf numFmtId="0" fontId="19" fillId="0" borderId="0" xfId="0" applyFont="1" applyAlignment="1">
      <alignment horizontal="left"/>
    </xf>
    <xf numFmtId="0" fontId="0" fillId="0" borderId="0" xfId="0" applyAlignment="1">
      <alignment horizontal="center" vertical="center"/>
    </xf>
    <xf numFmtId="166" fontId="0" fillId="0" borderId="0" xfId="0" applyNumberFormat="1"/>
    <xf numFmtId="0" fontId="17" fillId="0" borderId="0" xfId="0" applyFont="1" applyAlignment="1">
      <alignment vertical="center" wrapText="1"/>
    </xf>
    <xf numFmtId="0" fontId="5" fillId="7" borderId="0" xfId="0" applyFont="1" applyFill="1"/>
    <xf numFmtId="0" fontId="4" fillId="7" borderId="0" xfId="0" applyFont="1" applyFill="1" applyAlignment="1">
      <alignment horizontal="center"/>
    </xf>
    <xf numFmtId="0" fontId="5" fillId="7" borderId="0" xfId="0" applyFont="1" applyFill="1" applyAlignment="1">
      <alignment horizontal="center"/>
    </xf>
    <xf numFmtId="0" fontId="16" fillId="0" borderId="0" xfId="0" applyFont="1"/>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0" fontId="6" fillId="0" borderId="0" xfId="0" applyFont="1" applyAlignment="1">
      <alignment vertical="center"/>
    </xf>
    <xf numFmtId="0" fontId="15" fillId="0" borderId="0" xfId="0" applyFont="1" applyAlignment="1">
      <alignment vertical="center"/>
    </xf>
    <xf numFmtId="0" fontId="5" fillId="7" borderId="0" xfId="0" applyFont="1" applyFill="1" applyAlignment="1">
      <alignment vertical="center"/>
    </xf>
    <xf numFmtId="0" fontId="15" fillId="0" borderId="0" xfId="0" applyFont="1" applyAlignment="1">
      <alignment horizontal="center" vertical="center"/>
    </xf>
    <xf numFmtId="0" fontId="15" fillId="0" borderId="10" xfId="0" applyFont="1" applyBorder="1" applyAlignment="1">
      <alignment vertical="center"/>
    </xf>
    <xf numFmtId="165" fontId="5" fillId="7" borderId="10" xfId="0" applyNumberFormat="1" applyFont="1" applyFill="1" applyBorder="1" applyAlignment="1">
      <alignment horizontal="center" vertical="center"/>
    </xf>
    <xf numFmtId="0" fontId="25" fillId="7" borderId="0" xfId="0" applyFont="1" applyFill="1" applyAlignment="1">
      <alignment horizontal="center"/>
    </xf>
    <xf numFmtId="0" fontId="0" fillId="0" borderId="0" xfId="0" applyAlignment="1">
      <alignment vertical="center"/>
    </xf>
    <xf numFmtId="0" fontId="2" fillId="0" borderId="0" xfId="0" applyFont="1" applyAlignment="1">
      <alignment horizontal="center" vertical="center"/>
    </xf>
    <xf numFmtId="0" fontId="24" fillId="0" borderId="0" xfId="0" applyFont="1"/>
    <xf numFmtId="0" fontId="19" fillId="0" borderId="0" xfId="0" applyFont="1" applyAlignment="1">
      <alignment vertical="top" wrapText="1"/>
    </xf>
    <xf numFmtId="0" fontId="19" fillId="0" borderId="0" xfId="0" applyFont="1" applyAlignment="1">
      <alignment wrapText="1"/>
    </xf>
    <xf numFmtId="2" fontId="6" fillId="7" borderId="10" xfId="7" applyNumberFormat="1" applyFont="1" applyFill="1" applyBorder="1" applyAlignment="1">
      <alignment horizontal="center" vertical="center"/>
    </xf>
    <xf numFmtId="0" fontId="20" fillId="0" borderId="0" xfId="0" applyFont="1" applyAlignment="1">
      <alignment horizontal="left"/>
    </xf>
    <xf numFmtId="0" fontId="20" fillId="0" borderId="0" xfId="0" applyFont="1" applyAlignment="1">
      <alignment horizontal="left" vertical="top" wrapText="1"/>
    </xf>
    <xf numFmtId="0" fontId="20" fillId="0" borderId="0" xfId="0" applyFont="1" applyAlignment="1">
      <alignment horizontal="right" vertical="top" wrapText="1"/>
    </xf>
    <xf numFmtId="0" fontId="20" fillId="0" borderId="0" xfId="0" applyFont="1" applyAlignment="1">
      <alignment horizontal="right"/>
    </xf>
    <xf numFmtId="0" fontId="0" fillId="7" borderId="0" xfId="0" applyFill="1"/>
    <xf numFmtId="0" fontId="24" fillId="0" borderId="9" xfId="0" applyFont="1" applyBorder="1"/>
    <xf numFmtId="0" fontId="2" fillId="7" borderId="0" xfId="0" applyFont="1" applyFill="1"/>
    <xf numFmtId="0" fontId="0" fillId="7" borderId="0" xfId="0" applyFill="1" applyAlignment="1">
      <alignment horizontal="center"/>
    </xf>
    <xf numFmtId="0" fontId="25" fillId="15" borderId="10" xfId="0" applyFont="1" applyFill="1" applyBorder="1" applyAlignment="1">
      <alignment horizontal="center" vertical="center"/>
    </xf>
    <xf numFmtId="0" fontId="0" fillId="0" borderId="0" xfId="0" applyAlignment="1">
      <alignment horizontal="center" vertical="center" wrapText="1"/>
    </xf>
    <xf numFmtId="165" fontId="5" fillId="7" borderId="0" xfId="0" applyNumberFormat="1"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wrapText="1"/>
    </xf>
    <xf numFmtId="0" fontId="0" fillId="0" borderId="0" xfId="0" applyAlignment="1">
      <alignment horizontal="center" wrapText="1"/>
    </xf>
    <xf numFmtId="0" fontId="5" fillId="0" borderId="0" xfId="0" applyFont="1" applyAlignment="1">
      <alignment horizontal="left" vertical="center" wrapText="1"/>
    </xf>
    <xf numFmtId="0" fontId="22" fillId="0" borderId="0" xfId="0" applyFont="1" applyAlignment="1">
      <alignment vertical="center"/>
    </xf>
    <xf numFmtId="1" fontId="6" fillId="0" borderId="0" xfId="0" applyNumberFormat="1" applyFont="1"/>
    <xf numFmtId="0" fontId="0" fillId="16" borderId="0" xfId="0" applyFill="1"/>
    <xf numFmtId="0" fontId="9" fillId="0" borderId="0" xfId="0" applyFont="1" applyAlignment="1">
      <alignment horizontal="center" vertical="center"/>
    </xf>
    <xf numFmtId="0" fontId="28" fillId="0" borderId="0" xfId="0" applyFont="1" applyAlignment="1">
      <alignment horizontal="left"/>
    </xf>
    <xf numFmtId="0" fontId="28" fillId="0" borderId="0" xfId="0" applyFont="1" applyAlignment="1">
      <alignment horizontal="center"/>
    </xf>
    <xf numFmtId="0" fontId="13" fillId="0" borderId="0" xfId="0" applyFont="1" applyAlignment="1">
      <alignment vertical="center"/>
    </xf>
    <xf numFmtId="0" fontId="13" fillId="0" borderId="0" xfId="0" applyFont="1" applyAlignment="1">
      <alignment horizontal="center" vertical="center"/>
    </xf>
    <xf numFmtId="0" fontId="10" fillId="17" borderId="10" xfId="0" applyFont="1" applyFill="1" applyBorder="1" applyAlignment="1">
      <alignment horizontal="center" vertical="center" wrapText="1"/>
    </xf>
    <xf numFmtId="0" fontId="24" fillId="18" borderId="10"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11" xfId="0" applyFont="1" applyBorder="1" applyAlignment="1">
      <alignment horizontal="center" vertical="center" wrapText="1"/>
    </xf>
    <xf numFmtId="0" fontId="13" fillId="0" borderId="0" xfId="0" applyFont="1"/>
    <xf numFmtId="0" fontId="13" fillId="0" borderId="0" xfId="0" applyFont="1" applyAlignment="1">
      <alignment horizontal="center"/>
    </xf>
    <xf numFmtId="0" fontId="6" fillId="0" borderId="10" xfId="0" applyFont="1" applyBorder="1" applyAlignment="1">
      <alignment horizontal="center" vertical="center"/>
    </xf>
    <xf numFmtId="0" fontId="5" fillId="0" borderId="10" xfId="0" applyFont="1" applyBorder="1" applyAlignment="1">
      <alignment horizontal="center" vertical="center" wrapText="1"/>
    </xf>
    <xf numFmtId="0" fontId="6" fillId="7"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23" fillId="5" borderId="10" xfId="0" applyFont="1" applyFill="1" applyBorder="1" applyAlignment="1">
      <alignment horizontal="center" vertical="center"/>
    </xf>
    <xf numFmtId="0" fontId="13" fillId="2" borderId="10" xfId="0" applyFont="1" applyFill="1" applyBorder="1" applyAlignment="1">
      <alignment horizontal="center" vertical="center" wrapText="1"/>
    </xf>
    <xf numFmtId="0" fontId="0" fillId="0" borderId="0" xfId="0" applyAlignment="1">
      <alignment vertical="center" wrapText="1"/>
    </xf>
    <xf numFmtId="2" fontId="6" fillId="7" borderId="10" xfId="0" applyNumberFormat="1" applyFont="1" applyFill="1" applyBorder="1" applyAlignment="1">
      <alignment horizontal="center" vertical="center" wrapText="1"/>
    </xf>
    <xf numFmtId="0" fontId="0" fillId="0" borderId="0" xfId="0" applyAlignment="1">
      <alignment horizontal="left" vertical="center"/>
    </xf>
    <xf numFmtId="0" fontId="15" fillId="0" borderId="0" xfId="0" applyFont="1" applyAlignment="1">
      <alignment horizontal="left" vertical="center"/>
    </xf>
    <xf numFmtId="0" fontId="7" fillId="17" borderId="10" xfId="0" applyFont="1" applyFill="1" applyBorder="1" applyAlignment="1">
      <alignment horizontal="center" vertical="center" wrapText="1"/>
    </xf>
    <xf numFmtId="9" fontId="7" fillId="17" borderId="10" xfId="0" applyNumberFormat="1" applyFont="1" applyFill="1" applyBorder="1" applyAlignment="1">
      <alignment horizontal="center" vertical="center" wrapText="1"/>
    </xf>
    <xf numFmtId="0" fontId="29" fillId="0" borderId="10"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vertical="center"/>
    </xf>
    <xf numFmtId="1" fontId="6" fillId="7" borderId="10" xfId="0" applyNumberFormat="1" applyFont="1" applyFill="1" applyBorder="1" applyAlignment="1">
      <alignment horizontal="center" vertical="center" wrapText="1"/>
    </xf>
    <xf numFmtId="2" fontId="6" fillId="0" borderId="10" xfId="0" applyNumberFormat="1" applyFont="1" applyBorder="1" applyAlignment="1">
      <alignment horizontal="center" vertical="center"/>
    </xf>
    <xf numFmtId="0" fontId="6" fillId="0" borderId="10" xfId="0" applyFont="1" applyBorder="1" applyAlignment="1">
      <alignment horizontal="center" vertical="center" wrapText="1"/>
    </xf>
    <xf numFmtId="0" fontId="0" fillId="0" borderId="10" xfId="0" applyBorder="1" applyAlignment="1">
      <alignment horizontal="center" vertical="center" wrapText="1"/>
    </xf>
    <xf numFmtId="0" fontId="10" fillId="19" borderId="10" xfId="0" applyFont="1" applyFill="1" applyBorder="1" applyAlignment="1">
      <alignment horizontal="center" vertical="center" wrapText="1"/>
    </xf>
    <xf numFmtId="0" fontId="6" fillId="0" borderId="10" xfId="2" applyFont="1" applyBorder="1" applyAlignment="1">
      <alignment horizontal="center" vertical="center"/>
    </xf>
    <xf numFmtId="0" fontId="7" fillId="18" borderId="17" xfId="1" applyFont="1" applyFill="1" applyBorder="1" applyAlignment="1">
      <alignment horizontal="center" vertical="center" wrapText="1"/>
    </xf>
    <xf numFmtId="0" fontId="6" fillId="0" borderId="17" xfId="0" applyFont="1" applyBorder="1" applyAlignment="1">
      <alignment vertical="center"/>
    </xf>
    <xf numFmtId="0" fontId="6" fillId="0" borderId="17" xfId="2" applyFont="1" applyBorder="1" applyAlignment="1">
      <alignment horizontal="center" vertical="center"/>
    </xf>
    <xf numFmtId="9" fontId="6" fillId="0" borderId="17" xfId="2" applyNumberFormat="1" applyFont="1" applyBorder="1" applyAlignment="1">
      <alignment horizontal="center" vertical="center"/>
    </xf>
    <xf numFmtId="9" fontId="6" fillId="0" borderId="17" xfId="3" applyFont="1" applyBorder="1" applyAlignment="1">
      <alignment horizontal="center" vertical="center"/>
    </xf>
    <xf numFmtId="0" fontId="7" fillId="19" borderId="10" xfId="1" applyFont="1" applyFill="1" applyBorder="1" applyAlignment="1">
      <alignment horizontal="center" vertical="center" wrapText="1"/>
    </xf>
    <xf numFmtId="0" fontId="22" fillId="8" borderId="10" xfId="1" applyFont="1" applyFill="1" applyBorder="1" applyAlignment="1">
      <alignment horizontal="center" vertical="center" wrapText="1"/>
    </xf>
    <xf numFmtId="0" fontId="22" fillId="11" borderId="10" xfId="1" applyFont="1" applyFill="1" applyBorder="1" applyAlignment="1">
      <alignment horizontal="center" vertical="center" wrapText="1"/>
    </xf>
    <xf numFmtId="0" fontId="5" fillId="0" borderId="10" xfId="0" applyFont="1" applyBorder="1" applyAlignment="1" applyProtection="1">
      <alignment horizontal="justify" vertical="center" wrapText="1"/>
      <protection locked="0"/>
    </xf>
    <xf numFmtId="0" fontId="5" fillId="0" borderId="10" xfId="0" applyFont="1" applyBorder="1" applyAlignment="1" applyProtection="1">
      <alignment horizontal="center" vertical="center" wrapText="1"/>
      <protection locked="0"/>
    </xf>
    <xf numFmtId="0" fontId="5" fillId="7" borderId="10" xfId="0" applyFont="1" applyFill="1" applyBorder="1" applyAlignment="1" applyProtection="1">
      <alignment horizontal="center" vertical="center" wrapText="1"/>
      <protection locked="0"/>
    </xf>
    <xf numFmtId="0" fontId="5" fillId="7" borderId="10" xfId="0" applyFont="1" applyFill="1" applyBorder="1" applyAlignment="1" applyProtection="1">
      <alignment horizontal="justify" vertical="center" wrapText="1"/>
      <protection locked="0"/>
    </xf>
    <xf numFmtId="0" fontId="5" fillId="0" borderId="10" xfId="1" applyFont="1" applyBorder="1" applyAlignment="1">
      <alignment horizontal="center" vertical="center" wrapText="1"/>
    </xf>
    <xf numFmtId="1" fontId="4" fillId="12" borderId="10" xfId="1" applyNumberFormat="1" applyFont="1" applyFill="1" applyBorder="1" applyAlignment="1">
      <alignment horizontal="center" vertical="center"/>
    </xf>
    <xf numFmtId="0" fontId="5" fillId="0" borderId="10" xfId="1" applyFont="1" applyBorder="1" applyAlignment="1">
      <alignment horizontal="center" vertical="center"/>
    </xf>
    <xf numFmtId="0" fontId="4" fillId="12" borderId="10" xfId="1" applyFont="1" applyFill="1" applyBorder="1" applyAlignment="1">
      <alignment horizontal="center" vertical="center" wrapText="1"/>
    </xf>
    <xf numFmtId="0" fontId="4" fillId="0" borderId="10" xfId="1" applyFont="1" applyBorder="1" applyAlignment="1">
      <alignment horizontal="center" vertical="center"/>
    </xf>
    <xf numFmtId="1" fontId="4" fillId="0" borderId="10" xfId="1" applyNumberFormat="1" applyFont="1" applyBorder="1" applyAlignment="1">
      <alignment horizontal="center" vertical="center"/>
    </xf>
    <xf numFmtId="0" fontId="6" fillId="5" borderId="10" xfId="2" applyFont="1" applyFill="1" applyBorder="1" applyAlignment="1">
      <alignment horizontal="center" vertical="center"/>
    </xf>
    <xf numFmtId="0" fontId="6" fillId="14" borderId="10" xfId="2" applyFont="1" applyFill="1" applyBorder="1" applyAlignment="1">
      <alignment horizontal="center" vertical="center"/>
    </xf>
    <xf numFmtId="0" fontId="6" fillId="13" borderId="10" xfId="2" applyFont="1" applyFill="1" applyBorder="1" applyAlignment="1">
      <alignment horizontal="center" vertical="center"/>
    </xf>
    <xf numFmtId="0" fontId="10" fillId="17" borderId="10" xfId="0" applyFont="1" applyFill="1" applyBorder="1" applyAlignment="1" applyProtection="1">
      <alignment horizontal="center" vertical="center" wrapText="1"/>
      <protection locked="0"/>
    </xf>
    <xf numFmtId="1" fontId="5" fillId="7" borderId="10" xfId="0" applyNumberFormat="1" applyFont="1" applyFill="1" applyBorder="1" applyAlignment="1">
      <alignment horizontal="center" vertical="center" wrapText="1"/>
    </xf>
    <xf numFmtId="1" fontId="22" fillId="10" borderId="10" xfId="1" applyNumberFormat="1" applyFont="1" applyFill="1" applyBorder="1" applyAlignment="1">
      <alignment horizontal="center" vertical="center" wrapText="1"/>
    </xf>
    <xf numFmtId="0" fontId="23" fillId="0" borderId="10" xfId="0" applyFont="1" applyBorder="1" applyAlignment="1">
      <alignment horizontal="center" vertical="center" wrapText="1"/>
    </xf>
    <xf numFmtId="0" fontId="10" fillId="19" borderId="10" xfId="0" applyFont="1" applyFill="1" applyBorder="1" applyAlignment="1">
      <alignment vertical="center" wrapText="1"/>
    </xf>
    <xf numFmtId="0" fontId="10" fillId="19" borderId="10" xfId="0" applyFont="1" applyFill="1" applyBorder="1" applyAlignment="1">
      <alignment vertical="center" textRotation="90" wrapText="1"/>
    </xf>
    <xf numFmtId="2" fontId="0" fillId="0" borderId="0" xfId="0" applyNumberFormat="1" applyAlignment="1">
      <alignment horizontal="center" vertical="center"/>
    </xf>
    <xf numFmtId="0" fontId="7" fillId="18" borderId="23" xfId="1" applyFont="1" applyFill="1" applyBorder="1" applyAlignment="1">
      <alignment horizontal="center" vertical="center" wrapText="1"/>
    </xf>
    <xf numFmtId="9" fontId="6" fillId="0" borderId="10" xfId="0" applyNumberFormat="1" applyFont="1" applyBorder="1" applyAlignment="1">
      <alignment horizontal="center" vertical="center"/>
    </xf>
    <xf numFmtId="0" fontId="5" fillId="7" borderId="13" xfId="0" applyFont="1" applyFill="1" applyBorder="1" applyAlignment="1" applyProtection="1">
      <alignment horizontal="center" vertical="center" wrapText="1"/>
      <protection locked="0"/>
    </xf>
    <xf numFmtId="0" fontId="5" fillId="7" borderId="15" xfId="0" applyFont="1" applyFill="1" applyBorder="1" applyAlignment="1" applyProtection="1">
      <alignment horizontal="center" wrapText="1"/>
      <protection locked="0"/>
    </xf>
    <xf numFmtId="2" fontId="0" fillId="0" borderId="10" xfId="0" applyNumberFormat="1" applyBorder="1" applyAlignment="1">
      <alignment horizontal="center" vertical="center"/>
    </xf>
    <xf numFmtId="1" fontId="0" fillId="0" borderId="10" xfId="0" applyNumberFormat="1" applyBorder="1" applyAlignment="1">
      <alignment horizontal="center" vertical="center" wrapText="1"/>
    </xf>
    <xf numFmtId="167" fontId="0" fillId="0" borderId="10" xfId="0" applyNumberFormat="1" applyBorder="1" applyAlignment="1">
      <alignment horizontal="center" vertical="center" wrapText="1"/>
    </xf>
    <xf numFmtId="0" fontId="23" fillId="5" borderId="13" xfId="0" applyFont="1" applyFill="1" applyBorder="1" applyAlignment="1">
      <alignment horizontal="center" vertical="center"/>
    </xf>
    <xf numFmtId="0" fontId="6" fillId="0" borderId="30" xfId="0" applyFont="1" applyBorder="1" applyAlignment="1">
      <alignment horizontal="center" vertical="top" wrapText="1"/>
    </xf>
    <xf numFmtId="0" fontId="0" fillId="7" borderId="0" xfId="0" applyFill="1" applyAlignment="1">
      <alignment horizontal="center" vertical="center" wrapText="1"/>
    </xf>
    <xf numFmtId="1" fontId="0" fillId="7" borderId="0" xfId="0" applyNumberFormat="1" applyFill="1" applyAlignment="1">
      <alignment horizontal="center" vertical="center" wrapText="1"/>
    </xf>
    <xf numFmtId="167" fontId="0" fillId="7" borderId="0" xfId="0" applyNumberFormat="1" applyFill="1" applyAlignment="1">
      <alignment horizontal="center" vertical="center" wrapText="1"/>
    </xf>
    <xf numFmtId="1" fontId="5" fillId="7" borderId="0" xfId="0" applyNumberFormat="1" applyFont="1" applyFill="1" applyAlignment="1">
      <alignment horizontal="center" vertical="center" wrapText="1"/>
    </xf>
    <xf numFmtId="1" fontId="22" fillId="7" borderId="0" xfId="1" applyNumberFormat="1" applyFont="1" applyFill="1" applyAlignment="1">
      <alignment horizontal="center" vertical="center" wrapText="1"/>
    </xf>
    <xf numFmtId="0" fontId="23" fillId="7" borderId="0" xfId="0" applyFont="1" applyFill="1" applyAlignment="1">
      <alignment horizontal="center" vertical="center" wrapText="1"/>
    </xf>
    <xf numFmtId="0" fontId="31" fillId="2" borderId="0" xfId="0" applyFont="1" applyFill="1" applyAlignment="1">
      <alignment horizontal="right"/>
    </xf>
    <xf numFmtId="0" fontId="31" fillId="2" borderId="0" xfId="0" applyFont="1" applyFill="1" applyAlignment="1">
      <alignment horizontal="left"/>
    </xf>
    <xf numFmtId="0" fontId="25" fillId="2" borderId="0" xfId="0" applyFont="1" applyFill="1"/>
    <xf numFmtId="0" fontId="6" fillId="7" borderId="0" xfId="0" applyFont="1" applyFill="1" applyAlignment="1">
      <alignment horizontal="center"/>
    </xf>
    <xf numFmtId="0" fontId="6" fillId="0" borderId="29" xfId="0" applyFont="1" applyBorder="1" applyAlignment="1">
      <alignment horizontal="center" vertical="center" wrapText="1"/>
    </xf>
    <xf numFmtId="0" fontId="6" fillId="20" borderId="10" xfId="0" applyFont="1" applyFill="1" applyBorder="1" applyAlignment="1">
      <alignment horizontal="center" vertical="center" wrapText="1"/>
    </xf>
    <xf numFmtId="0" fontId="6" fillId="21" borderId="10" xfId="0" applyFont="1" applyFill="1" applyBorder="1" applyAlignment="1">
      <alignment horizontal="center" vertical="center"/>
    </xf>
    <xf numFmtId="0" fontId="6" fillId="3" borderId="10" xfId="0" applyFont="1" applyFill="1" applyBorder="1" applyAlignment="1">
      <alignment horizontal="center" vertical="center"/>
    </xf>
    <xf numFmtId="0" fontId="6" fillId="4" borderId="10" xfId="0" applyFont="1" applyFill="1" applyBorder="1" applyAlignment="1">
      <alignment horizontal="center" vertical="center"/>
    </xf>
    <xf numFmtId="0" fontId="6" fillId="5" borderId="10" xfId="0" applyFont="1" applyFill="1" applyBorder="1" applyAlignment="1">
      <alignment horizontal="center" vertical="center"/>
    </xf>
    <xf numFmtId="0" fontId="5" fillId="0" borderId="15" xfId="0" applyFont="1" applyBorder="1" applyAlignment="1">
      <alignment horizontal="center" vertical="center" wrapText="1"/>
    </xf>
    <xf numFmtId="1" fontId="6" fillId="0" borderId="0" xfId="0" applyNumberFormat="1" applyFont="1" applyAlignment="1">
      <alignment horizontal="center"/>
    </xf>
    <xf numFmtId="0" fontId="6" fillId="7" borderId="16"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10" xfId="0" applyFont="1" applyBorder="1" applyAlignment="1">
      <alignment horizontal="justify" vertical="center" wrapText="1"/>
    </xf>
    <xf numFmtId="0" fontId="6" fillId="0" borderId="16" xfId="0" applyFont="1" applyBorder="1" applyAlignment="1">
      <alignment vertical="center" wrapText="1"/>
    </xf>
    <xf numFmtId="0" fontId="22" fillId="0" borderId="10" xfId="0" applyFont="1" applyBorder="1" applyAlignment="1">
      <alignment horizontal="justify" vertical="center" wrapText="1"/>
    </xf>
    <xf numFmtId="0" fontId="0" fillId="0" borderId="0" xfId="0" quotePrefix="1" applyAlignment="1">
      <alignment horizontal="center" vertical="center"/>
    </xf>
    <xf numFmtId="0" fontId="6" fillId="22" borderId="10" xfId="2" applyFont="1" applyFill="1" applyBorder="1" applyAlignment="1">
      <alignment horizontal="center" vertical="center"/>
    </xf>
    <xf numFmtId="0" fontId="6" fillId="0" borderId="13" xfId="0" applyFont="1" applyBorder="1" applyAlignment="1">
      <alignment vertical="center" wrapText="1"/>
    </xf>
    <xf numFmtId="1" fontId="4" fillId="0" borderId="10" xfId="1" applyNumberFormat="1" applyFont="1" applyBorder="1" applyAlignment="1">
      <alignment vertical="center"/>
    </xf>
    <xf numFmtId="0" fontId="4" fillId="0" borderId="10" xfId="1" applyFont="1" applyBorder="1" applyAlignment="1">
      <alignment vertical="center"/>
    </xf>
    <xf numFmtId="0" fontId="34" fillId="0" borderId="16" xfId="0" applyFont="1" applyBorder="1" applyAlignment="1">
      <alignment vertical="center" wrapText="1"/>
    </xf>
    <xf numFmtId="0" fontId="34" fillId="0" borderId="10" xfId="0" applyFont="1" applyBorder="1" applyAlignment="1">
      <alignment horizontal="justify" vertical="center" wrapText="1"/>
    </xf>
    <xf numFmtId="0" fontId="33" fillId="0" borderId="10" xfId="0" applyFont="1" applyBorder="1" applyAlignment="1">
      <alignment horizontal="justify" vertical="center" wrapText="1"/>
    </xf>
    <xf numFmtId="0" fontId="35" fillId="0" borderId="0" xfId="0" applyFont="1" applyAlignment="1">
      <alignment horizontal="right" vertical="center"/>
    </xf>
    <xf numFmtId="0" fontId="0" fillId="7" borderId="0" xfId="0" applyFill="1" applyAlignment="1">
      <alignment horizontal="left" vertical="center"/>
    </xf>
    <xf numFmtId="0" fontId="0" fillId="0" borderId="0" xfId="0" applyAlignment="1">
      <alignment horizontal="left" vertical="center" wrapText="1"/>
    </xf>
    <xf numFmtId="0" fontId="0" fillId="0" borderId="10" xfId="0" applyBorder="1" applyAlignment="1">
      <alignment horizontal="left" vertical="center"/>
    </xf>
    <xf numFmtId="0" fontId="2" fillId="18" borderId="25" xfId="0" applyFont="1" applyFill="1" applyBorder="1" applyAlignment="1">
      <alignment horizontal="center" vertical="center"/>
    </xf>
    <xf numFmtId="0" fontId="2" fillId="18" borderId="11" xfId="0" applyFont="1" applyFill="1" applyBorder="1" applyAlignment="1">
      <alignment horizontal="center" vertical="center"/>
    </xf>
    <xf numFmtId="0" fontId="2" fillId="18" borderId="24" xfId="0" applyFont="1" applyFill="1" applyBorder="1" applyAlignment="1">
      <alignment horizontal="center" vertical="center"/>
    </xf>
    <xf numFmtId="0" fontId="37" fillId="0" borderId="0" xfId="0" applyFont="1" applyAlignment="1">
      <alignment horizontal="right"/>
    </xf>
    <xf numFmtId="0" fontId="37" fillId="0" borderId="0" xfId="0" applyFont="1" applyAlignment="1">
      <alignment horizontal="left"/>
    </xf>
    <xf numFmtId="0" fontId="36" fillId="0" borderId="0" xfId="0" applyFont="1" applyAlignment="1">
      <alignment horizontal="center" wrapText="1"/>
    </xf>
    <xf numFmtId="0" fontId="10" fillId="5" borderId="10" xfId="0" applyFont="1" applyFill="1" applyBorder="1" applyAlignment="1">
      <alignment horizontal="center" vertical="center"/>
    </xf>
    <xf numFmtId="0" fontId="6" fillId="0" borderId="10" xfId="0" applyFont="1" applyBorder="1" applyAlignment="1">
      <alignment horizontal="center" vertical="center" wrapText="1"/>
    </xf>
    <xf numFmtId="0" fontId="0" fillId="0" borderId="10" xfId="0" applyBorder="1" applyAlignment="1">
      <alignment horizontal="center" vertical="center" wrapText="1"/>
    </xf>
    <xf numFmtId="0" fontId="10" fillId="17" borderId="10" xfId="0" applyFont="1" applyFill="1" applyBorder="1" applyAlignment="1">
      <alignment horizontal="center" vertical="center" wrapText="1"/>
    </xf>
    <xf numFmtId="0" fontId="32" fillId="6" borderId="10" xfId="0" applyFont="1" applyFill="1" applyBorder="1" applyAlignment="1">
      <alignment horizontal="center" vertical="center"/>
    </xf>
    <xf numFmtId="0" fontId="32" fillId="3" borderId="10" xfId="0" applyFont="1" applyFill="1" applyBorder="1" applyAlignment="1">
      <alignment horizontal="center" vertical="center"/>
    </xf>
    <xf numFmtId="0" fontId="30" fillId="17" borderId="10" xfId="0" applyFont="1" applyFill="1" applyBorder="1" applyAlignment="1">
      <alignment horizontal="center" vertical="center" wrapText="1"/>
    </xf>
    <xf numFmtId="0" fontId="7" fillId="17" borderId="10" xfId="0" applyFont="1" applyFill="1" applyBorder="1" applyAlignment="1">
      <alignment horizontal="center" vertical="center" wrapText="1"/>
    </xf>
    <xf numFmtId="0" fontId="7" fillId="17" borderId="16" xfId="0" applyFont="1" applyFill="1" applyBorder="1" applyAlignment="1">
      <alignment horizontal="center" vertical="center" wrapText="1"/>
    </xf>
    <xf numFmtId="0" fontId="7" fillId="17" borderId="11" xfId="0" applyFont="1" applyFill="1" applyBorder="1" applyAlignment="1">
      <alignment horizontal="center" vertical="center" wrapText="1"/>
    </xf>
    <xf numFmtId="0" fontId="32" fillId="4" borderId="10"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0" fillId="0" borderId="12" xfId="0" applyBorder="1" applyAlignment="1">
      <alignment horizontal="center" vertical="center" wrapText="1"/>
    </xf>
    <xf numFmtId="0" fontId="7" fillId="17" borderId="13" xfId="0" applyFont="1" applyFill="1" applyBorder="1" applyAlignment="1">
      <alignment horizontal="center" vertical="center" wrapText="1"/>
    </xf>
    <xf numFmtId="0" fontId="7" fillId="17" borderId="14"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7" fillId="17" borderId="13" xfId="0" applyFont="1" applyFill="1" applyBorder="1" applyAlignment="1">
      <alignment horizontal="center" vertical="center"/>
    </xf>
    <xf numFmtId="0" fontId="7" fillId="17" borderId="14" xfId="0" applyFont="1" applyFill="1" applyBorder="1" applyAlignment="1">
      <alignment horizontal="center" vertical="center"/>
    </xf>
    <xf numFmtId="0" fontId="7" fillId="17" borderId="15" xfId="0" applyFont="1" applyFill="1" applyBorder="1" applyAlignment="1">
      <alignment horizontal="center" vertical="center"/>
    </xf>
    <xf numFmtId="0" fontId="12" fillId="7" borderId="33" xfId="0" applyFont="1" applyFill="1" applyBorder="1" applyAlignment="1">
      <alignment horizontal="center" vertical="center"/>
    </xf>
    <xf numFmtId="0" fontId="12" fillId="7" borderId="33" xfId="0" applyFont="1" applyFill="1" applyBorder="1" applyAlignment="1">
      <alignment horizontal="center" vertical="center" wrapText="1"/>
    </xf>
    <xf numFmtId="0" fontId="10" fillId="19" borderId="10" xfId="0" applyFont="1" applyFill="1" applyBorder="1" applyAlignment="1">
      <alignment horizontal="center" vertical="center" wrapText="1"/>
    </xf>
    <xf numFmtId="0" fontId="11" fillId="18" borderId="10" xfId="0" applyFont="1" applyFill="1" applyBorder="1" applyAlignment="1">
      <alignment horizontal="center" vertical="center"/>
    </xf>
    <xf numFmtId="0" fontId="10" fillId="19" borderId="10" xfId="0" applyFont="1" applyFill="1" applyBorder="1" applyAlignment="1">
      <alignment horizontal="center" vertical="center" textRotation="90" wrapText="1"/>
    </xf>
    <xf numFmtId="0" fontId="11" fillId="18" borderId="0" xfId="0" applyFont="1" applyFill="1" applyAlignment="1">
      <alignment horizontal="center" vertical="center" wrapText="1"/>
    </xf>
    <xf numFmtId="0" fontId="10" fillId="19" borderId="13" xfId="0" applyFont="1" applyFill="1" applyBorder="1" applyAlignment="1">
      <alignment horizontal="center" vertical="center" wrapText="1"/>
    </xf>
    <xf numFmtId="0" fontId="11" fillId="18" borderId="13" xfId="0" applyFont="1" applyFill="1" applyBorder="1" applyAlignment="1">
      <alignment horizontal="center" vertical="center"/>
    </xf>
    <xf numFmtId="0" fontId="11" fillId="18" borderId="14" xfId="0" applyFont="1" applyFill="1" applyBorder="1" applyAlignment="1">
      <alignment horizontal="center" vertical="center"/>
    </xf>
    <xf numFmtId="0" fontId="27" fillId="0" borderId="0" xfId="0" applyFont="1" applyAlignment="1">
      <alignment horizontal="center"/>
    </xf>
    <xf numFmtId="0" fontId="5" fillId="0" borderId="1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1" xfId="0" applyFont="1" applyBorder="1" applyAlignment="1">
      <alignment horizontal="center" vertical="center" wrapText="1"/>
    </xf>
    <xf numFmtId="1" fontId="4" fillId="0" borderId="16" xfId="1" applyNumberFormat="1" applyFont="1" applyBorder="1" applyAlignment="1">
      <alignment horizontal="center" vertical="center"/>
    </xf>
    <xf numFmtId="1" fontId="4" fillId="0" borderId="22" xfId="1" applyNumberFormat="1" applyFont="1" applyBorder="1" applyAlignment="1">
      <alignment horizontal="center" vertical="center"/>
    </xf>
    <xf numFmtId="1" fontId="4" fillId="0" borderId="11" xfId="1" applyNumberFormat="1" applyFont="1" applyBorder="1" applyAlignment="1">
      <alignment horizontal="center" vertical="center"/>
    </xf>
    <xf numFmtId="0" fontId="4" fillId="0" borderId="16" xfId="1" applyFont="1" applyBorder="1" applyAlignment="1">
      <alignment horizontal="center" vertical="center"/>
    </xf>
    <xf numFmtId="0" fontId="4" fillId="0" borderId="22" xfId="1" applyFont="1" applyBorder="1" applyAlignment="1">
      <alignment horizontal="center" vertical="center"/>
    </xf>
    <xf numFmtId="0" fontId="4" fillId="0" borderId="11" xfId="1" applyFont="1" applyBorder="1" applyAlignment="1">
      <alignment horizontal="center" vertical="center"/>
    </xf>
    <xf numFmtId="0" fontId="5" fillId="0" borderId="15" xfId="0" applyFont="1" applyBorder="1" applyAlignment="1">
      <alignment horizontal="center" vertical="center" wrapText="1"/>
    </xf>
    <xf numFmtId="1" fontId="4" fillId="0" borderId="10" xfId="1" applyNumberFormat="1" applyFont="1" applyBorder="1" applyAlignment="1">
      <alignment horizontal="center" vertical="center"/>
    </xf>
    <xf numFmtId="0" fontId="4" fillId="0" borderId="10" xfId="1" applyFont="1" applyBorder="1" applyAlignment="1">
      <alignment horizontal="center" vertical="center"/>
    </xf>
    <xf numFmtId="0" fontId="7" fillId="19" borderId="10" xfId="1" applyFont="1" applyFill="1" applyBorder="1" applyAlignment="1">
      <alignment horizontal="center" vertical="center" wrapText="1"/>
    </xf>
    <xf numFmtId="0" fontId="7" fillId="18" borderId="10" xfId="1" applyFont="1" applyFill="1" applyBorder="1" applyAlignment="1">
      <alignment horizontal="center" vertical="center" wrapText="1"/>
    </xf>
    <xf numFmtId="0" fontId="7" fillId="19" borderId="10" xfId="0" applyFont="1" applyFill="1" applyBorder="1" applyAlignment="1">
      <alignment horizontal="center" vertical="center" wrapText="1"/>
    </xf>
    <xf numFmtId="0" fontId="7" fillId="19" borderId="10" xfId="0" applyFont="1" applyFill="1" applyBorder="1" applyAlignment="1" applyProtection="1">
      <alignment horizontal="center" vertical="center" wrapText="1"/>
      <protection locked="0"/>
    </xf>
    <xf numFmtId="0" fontId="7" fillId="18" borderId="10" xfId="0" applyFont="1" applyFill="1" applyBorder="1" applyAlignment="1">
      <alignment horizontal="center" vertical="center" wrapText="1"/>
    </xf>
    <xf numFmtId="0" fontId="7" fillId="19" borderId="16" xfId="0" applyFont="1" applyFill="1" applyBorder="1" applyAlignment="1">
      <alignment horizontal="center" vertical="center" wrapText="1"/>
    </xf>
    <xf numFmtId="0" fontId="7" fillId="19" borderId="16" xfId="0" applyFont="1" applyFill="1" applyBorder="1" applyAlignment="1" applyProtection="1">
      <alignment horizontal="center" vertical="center" wrapText="1"/>
      <protection locked="0"/>
    </xf>
    <xf numFmtId="0" fontId="7" fillId="18" borderId="17" xfId="1" applyFont="1" applyFill="1" applyBorder="1" applyAlignment="1">
      <alignment horizontal="center" vertical="center" wrapText="1"/>
    </xf>
    <xf numFmtId="0" fontId="7" fillId="18" borderId="19" xfId="1" applyFont="1" applyFill="1" applyBorder="1" applyAlignment="1">
      <alignment horizontal="center" vertical="center" wrapText="1"/>
    </xf>
    <xf numFmtId="0" fontId="7" fillId="18" borderId="20" xfId="1" applyFont="1" applyFill="1" applyBorder="1" applyAlignment="1">
      <alignment horizontal="center" vertical="center" wrapText="1"/>
    </xf>
    <xf numFmtId="0" fontId="7" fillId="18" borderId="18" xfId="1" applyFont="1" applyFill="1" applyBorder="1" applyAlignment="1">
      <alignment horizontal="center" vertical="center" wrapText="1"/>
    </xf>
    <xf numFmtId="0" fontId="7" fillId="18" borderId="21" xfId="1" applyFont="1" applyFill="1" applyBorder="1" applyAlignment="1">
      <alignment horizontal="center" vertical="center" wrapText="1"/>
    </xf>
    <xf numFmtId="0" fontId="6" fillId="7" borderId="10"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22" xfId="0" applyFont="1" applyFill="1" applyBorder="1" applyAlignment="1">
      <alignment horizontal="center" vertical="center"/>
    </xf>
    <xf numFmtId="0" fontId="6" fillId="7" borderId="11" xfId="0" applyFont="1" applyFill="1" applyBorder="1" applyAlignment="1">
      <alignment horizontal="center" vertical="center"/>
    </xf>
    <xf numFmtId="0" fontId="6" fillId="0" borderId="1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5" fillId="7" borderId="16" xfId="0" applyFont="1" applyFill="1" applyBorder="1" applyAlignment="1">
      <alignment horizontal="center" vertical="center"/>
    </xf>
    <xf numFmtId="0" fontId="5" fillId="7" borderId="22" xfId="0" applyFont="1" applyFill="1" applyBorder="1" applyAlignment="1">
      <alignment horizontal="center" vertical="center"/>
    </xf>
    <xf numFmtId="0" fontId="5" fillId="7" borderId="11" xfId="0" applyFont="1" applyFill="1" applyBorder="1" applyAlignment="1">
      <alignment horizontal="center" vertical="center"/>
    </xf>
    <xf numFmtId="0" fontId="5" fillId="0" borderId="32" xfId="0" applyFont="1" applyBorder="1" applyAlignment="1">
      <alignment horizontal="center" vertical="center" wrapText="1"/>
    </xf>
    <xf numFmtId="0" fontId="21" fillId="19" borderId="10" xfId="0" applyFont="1" applyFill="1" applyBorder="1" applyAlignment="1">
      <alignment horizontal="center" vertical="center" wrapText="1"/>
    </xf>
    <xf numFmtId="0" fontId="21" fillId="19" borderId="10" xfId="1" applyFont="1" applyFill="1" applyBorder="1" applyAlignment="1">
      <alignment horizontal="center" vertical="center" wrapText="1"/>
    </xf>
    <xf numFmtId="0" fontId="21" fillId="19" borderId="16" xfId="0" applyFont="1" applyFill="1" applyBorder="1" applyAlignment="1">
      <alignment horizontal="center" vertical="center" wrapText="1"/>
    </xf>
    <xf numFmtId="0" fontId="21" fillId="19" borderId="22" xfId="0" applyFont="1" applyFill="1" applyBorder="1" applyAlignment="1">
      <alignment horizontal="center" vertical="center" wrapText="1"/>
    </xf>
    <xf numFmtId="0" fontId="21" fillId="19" borderId="11" xfId="0" applyFont="1" applyFill="1" applyBorder="1" applyAlignment="1">
      <alignment horizontal="center" vertical="center" wrapText="1"/>
    </xf>
    <xf numFmtId="0" fontId="21" fillId="19" borderId="16" xfId="1" applyFont="1" applyFill="1" applyBorder="1" applyAlignment="1">
      <alignment horizontal="center" vertical="center" wrapText="1"/>
    </xf>
    <xf numFmtId="0" fontId="21" fillId="19" borderId="11" xfId="1" applyFont="1" applyFill="1" applyBorder="1" applyAlignment="1">
      <alignment horizontal="center" vertical="center" wrapText="1"/>
    </xf>
    <xf numFmtId="0" fontId="21" fillId="19" borderId="28" xfId="1" applyFont="1" applyFill="1" applyBorder="1" applyAlignment="1">
      <alignment horizontal="center" vertical="center" wrapText="1"/>
    </xf>
    <xf numFmtId="0" fontId="21" fillId="19" borderId="12" xfId="1" applyFont="1" applyFill="1" applyBorder="1" applyAlignment="1">
      <alignment horizontal="center" vertical="center" wrapText="1"/>
    </xf>
    <xf numFmtId="0" fontId="21" fillId="19" borderId="26" xfId="1" applyFont="1" applyFill="1" applyBorder="1" applyAlignment="1">
      <alignment horizontal="center" vertical="center" wrapText="1"/>
    </xf>
    <xf numFmtId="0" fontId="21" fillId="19" borderId="24" xfId="1" applyFont="1" applyFill="1" applyBorder="1" applyAlignment="1">
      <alignment horizontal="center" vertical="center" wrapText="1"/>
    </xf>
    <xf numFmtId="0" fontId="21" fillId="19" borderId="27" xfId="1" applyFont="1" applyFill="1" applyBorder="1" applyAlignment="1">
      <alignment horizontal="center" vertical="center" wrapText="1"/>
    </xf>
    <xf numFmtId="0" fontId="21" fillId="19" borderId="25" xfId="1" applyFont="1" applyFill="1" applyBorder="1" applyAlignment="1">
      <alignment horizontal="center" vertical="center" wrapText="1"/>
    </xf>
    <xf numFmtId="0" fontId="17" fillId="0" borderId="0" xfId="0" applyFont="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8">
    <cellStyle name="Millares" xfId="7" builtinId="3"/>
    <cellStyle name="Millares 3" xfId="4"/>
    <cellStyle name="Normal" xfId="0" builtinId="0"/>
    <cellStyle name="Normal 2" xfId="1"/>
    <cellStyle name="Normal 2 2" xfId="2"/>
    <cellStyle name="Normal 3" xfId="5"/>
    <cellStyle name="Normal 9" xfId="6"/>
    <cellStyle name="Porcentual 3" xfId="3"/>
  </cellStyles>
  <dxfs count="168">
    <dxf>
      <font>
        <color theme="0"/>
      </font>
    </dxf>
    <dxf>
      <font>
        <color theme="0"/>
      </font>
    </dxf>
    <dxf>
      <font>
        <color theme="0"/>
      </font>
    </dxf>
    <dxf>
      <font>
        <color theme="0"/>
      </font>
    </dxf>
    <dxf>
      <numFmt numFmtId="2" formatCode="0.00"/>
    </dxf>
    <dxf>
      <numFmt numFmtId="0" formatCode="General"/>
      <alignment horizontal="general" vertical="center" textRotation="0" wrapText="1" indent="0" justifyLastLine="0" shrinkToFit="0" readingOrder="0"/>
    </dxf>
    <dxf>
      <border outline="0">
        <top style="thin">
          <color theme="0" tint="-0.24994659260841701"/>
        </top>
      </border>
    </dxf>
    <dxf>
      <border outline="0">
        <bottom style="thin">
          <color theme="0" tint="-0.24994659260841701"/>
        </bottom>
      </border>
    </dxf>
    <dxf>
      <fill>
        <patternFill patternType="none">
          <fgColor indexed="64"/>
          <bgColor auto="1"/>
        </patternFill>
      </fill>
    </dxf>
    <dxf>
      <numFmt numFmtId="2" formatCode="0.00"/>
      <fill>
        <patternFill patternType="none">
          <fgColor indexed="64"/>
          <bgColor auto="1"/>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numFmt numFmtId="2" formatCode="0.0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bottom style="thin">
          <color theme="0" tint="-0.24994659260841701"/>
        </bottom>
      </border>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2" formatCode="0.00"/>
      <fill>
        <patternFill patternType="none">
          <fgColor indexed="64"/>
          <bgColor auto="1"/>
        </patternFill>
      </fill>
      <alignment vertical="center" textRotation="0" indent="0" justifyLastLine="0" shrinkToFit="0" readingOrder="0"/>
    </dxf>
    <dxf>
      <numFmt numFmtId="2" formatCode="0.00"/>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bgColor rgb="FFFFC000"/>
        </patternFill>
      </fill>
    </dxf>
    <dxf>
      <fill>
        <patternFill>
          <bgColor rgb="FFFF0000"/>
        </patternFill>
      </fill>
    </dxf>
    <dxf>
      <fill>
        <patternFill>
          <bgColor rgb="FFFFFF00"/>
        </patternFill>
      </fill>
    </dxf>
    <dxf>
      <fill>
        <patternFill>
          <bgColor rgb="FF009900"/>
        </patternFill>
      </fill>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4" tint="-0.249977111117893"/>
        </patternFill>
      </fill>
      <alignment horizontal="center" vertical="center" textRotation="0" wrapText="0" indent="0" justifyLastLine="0" shrinkToFit="0" readingOrder="0"/>
    </dxf>
    <dxf>
      <font>
        <color theme="0"/>
      </font>
      <border>
        <left/>
        <right/>
        <top/>
        <bottom/>
        <vertical/>
        <horizontal/>
      </border>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indexed="10"/>
        </patternFill>
      </fill>
    </dxf>
    <dxf>
      <font>
        <color theme="1"/>
      </font>
      <fill>
        <patternFill>
          <bgColor rgb="FF00FF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numFmt numFmtId="2" formatCode="0.00"/>
    </dxf>
    <dxf>
      <numFmt numFmtId="0" formatCode="General"/>
      <alignment horizontal="general" vertical="center" textRotation="0" wrapText="1" indent="0" justifyLastLine="0" shrinkToFit="0" readingOrder="0"/>
    </dxf>
    <dxf>
      <border outline="0">
        <top style="thin">
          <color theme="0" tint="-0.24994659260841701"/>
        </top>
      </border>
    </dxf>
    <dxf>
      <border outline="0">
        <bottom style="thin">
          <color theme="0" tint="-0.24994659260841701"/>
        </bottom>
      </border>
    </dxf>
    <dxf>
      <fill>
        <patternFill patternType="none">
          <fgColor indexed="64"/>
          <bgColor auto="1"/>
        </patternFill>
      </fill>
    </dxf>
    <dxf>
      <numFmt numFmtId="2" formatCode="0.00"/>
    </dxf>
    <dxf>
      <numFmt numFmtId="2" formatCode="0.00"/>
    </dxf>
    <dxf>
      <fill>
        <patternFill patternType="none">
          <fgColor indexed="64"/>
          <bgColor indexed="65"/>
        </patternFill>
      </fill>
      <alignment horizontal="left" vertical="center" textRotation="0" wrapText="0" indent="0" justifyLastLine="0" shrinkToFit="0" readingOrder="0"/>
    </dxf>
    <dxf>
      <border outline="0">
        <top style="thin">
          <color theme="0" tint="-0.24994659260841701"/>
        </top>
      </border>
    </dxf>
    <dxf>
      <border outline="0">
        <bottom style="thin">
          <color theme="0" tint="-0.24994659260841701"/>
        </bottom>
      </border>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2" formatCode="0.00"/>
      <fill>
        <patternFill patternType="none">
          <fgColor indexed="64"/>
          <bgColor auto="1"/>
        </patternFill>
      </fill>
      <alignment horizontal="center" vertical="center" textRotation="0" wrapText="0" indent="0" justifyLastLine="0" shrinkToFit="0" readingOrder="0"/>
    </dxf>
    <dxf>
      <numFmt numFmtId="2" formatCode="0.00"/>
      <fill>
        <patternFill patternType="none">
          <fgColor indexed="64"/>
          <bgColor auto="1"/>
        </patternFill>
      </fill>
      <alignment horizontal="center" vertical="center" textRotation="0" wrapText="0" indent="0" justifyLastLine="0" shrinkToFit="0" readingOrder="0"/>
    </dxf>
    <dxf>
      <numFmt numFmtId="2" formatCode="0.00"/>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dxf>
    <dxf>
      <border>
        <bottom style="thin">
          <color theme="0" tint="-0.24994659260841701"/>
        </bottom>
      </border>
    </dxf>
    <dxf>
      <font>
        <b/>
      </font>
      <fill>
        <patternFill patternType="solid">
          <fgColor indexed="64"/>
          <bgColor rgb="FFEC3338"/>
        </patternFill>
      </fill>
      <alignment horizontal="center" vertical="center" textRotation="0" wrapText="0" indent="0" justifyLastLine="0" shrinkToFit="0" readingOrder="0"/>
      <border diagonalUp="0" diagonalDown="0">
        <left style="double">
          <color theme="0" tint="-0.24994659260841701"/>
        </left>
        <right style="double">
          <color theme="0" tint="-0.24994659260841701"/>
        </right>
        <top/>
        <bottom/>
        <vertical style="double">
          <color theme="0" tint="-0.24994659260841701"/>
        </vertical>
        <horizontal/>
      </border>
    </dxf>
    <dxf>
      <font>
        <color theme="0"/>
      </font>
      <fill>
        <patternFill>
          <bgColor rgb="FFFF0000"/>
        </patternFill>
      </fill>
    </dxf>
    <dxf>
      <fill>
        <patternFill>
          <bgColor rgb="FFFFC000"/>
        </patternFill>
      </fill>
    </dxf>
    <dxf>
      <fill>
        <patternFill>
          <bgColor rgb="FFFF0000"/>
        </patternFill>
      </fill>
    </dxf>
    <dxf>
      <fill>
        <patternFill>
          <bgColor rgb="FFFFFF00"/>
        </patternFill>
      </fill>
    </dxf>
    <dxf>
      <fill>
        <patternFill>
          <bgColor rgb="FF009900"/>
        </patternFill>
      </fill>
    </dxf>
    <dxf>
      <font>
        <color theme="0"/>
      </font>
      <fill>
        <patternFill>
          <bgColor rgb="FFFF0000"/>
        </patternFill>
      </fill>
    </dxf>
    <dxf>
      <font>
        <color theme="0"/>
      </font>
      <border>
        <left/>
        <right/>
        <top/>
        <bottom/>
        <vertical/>
        <horizontal/>
      </border>
    </dxf>
    <dxf>
      <fill>
        <patternFill>
          <bgColor rgb="FFFF0000"/>
        </patternFill>
      </fill>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0000"/>
        </patternFill>
      </fill>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indent="0" justifyLastLine="0" shrinkToFit="0" readingOrder="0"/>
    </dxf>
    <dxf>
      <fill>
        <patternFill patternType="none">
          <fgColor indexed="64"/>
          <bgColor auto="1"/>
        </patternFill>
      </fill>
      <alignment horizontal="center" vertical="center" textRotation="0" indent="0" justifyLastLine="0" shrinkToFit="0" readingOrder="0"/>
    </dxf>
    <dxf>
      <fill>
        <patternFill patternType="none">
          <fgColor indexed="64"/>
          <bgColor auto="1"/>
        </patternFill>
      </fill>
      <alignment horizontal="center" vertical="center" textRotation="0" indent="0" justifyLastLine="0" shrinkToFit="0" readingOrder="0"/>
    </dxf>
    <dxf>
      <fill>
        <patternFill patternType="none">
          <fgColor indexed="64"/>
          <bgColor auto="1"/>
        </patternFill>
      </fill>
      <alignment horizontal="center" vertical="center" textRotation="0" indent="0" justifyLastLine="0" shrinkToFit="0" readingOrder="0"/>
    </dxf>
    <dxf>
      <fill>
        <patternFill patternType="none">
          <fgColor indexed="64"/>
          <bgColor auto="1"/>
        </patternFill>
      </fill>
      <alignment horizontal="center" vertical="center" textRotation="0" indent="0" justifyLastLine="0" shrinkToFit="0" readingOrder="0"/>
    </dxf>
    <dxf>
      <fill>
        <patternFill patternType="none">
          <fgColor indexed="64"/>
          <bgColor auto="1"/>
        </patternFill>
      </fill>
      <alignment horizontal="center" vertical="center" textRotation="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auto="1"/>
        </patternFill>
      </fill>
    </dxf>
    <dxf>
      <font>
        <strike val="0"/>
        <outline val="0"/>
        <shadow val="0"/>
        <u val="none"/>
        <vertAlign val="baseline"/>
        <sz val="11"/>
        <color auto="1"/>
        <name val="Calibri"/>
        <scheme val="minor"/>
      </font>
      <alignment horizontal="left" vertical="center" textRotation="0" wrapText="0" indent="0" justifyLastLine="0" shrinkToFit="0" readingOrder="0"/>
    </dxf>
    <dxf>
      <font>
        <strike val="0"/>
        <outline val="0"/>
        <shadow val="0"/>
        <u val="none"/>
        <vertAlign val="baseline"/>
        <sz val="11"/>
        <color auto="1"/>
        <name val="Calibri"/>
        <scheme val="minor"/>
      </font>
      <alignment horizontal="left" vertical="center" textRotation="0" wrapText="0" indent="0" justifyLastLine="0" shrinkToFit="0" readingOrder="0"/>
    </dxf>
    <dxf>
      <font>
        <b/>
        <strike val="0"/>
        <outline val="0"/>
        <shadow val="0"/>
        <u val="none"/>
        <vertAlign val="baseline"/>
        <sz val="11"/>
        <color theme="0"/>
        <name val="Calibri"/>
        <scheme val="minor"/>
      </font>
      <fill>
        <patternFill patternType="none">
          <fgColor indexed="64"/>
          <bgColor auto="1"/>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auto="1"/>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auto="1"/>
        </patternFill>
      </fill>
    </dxf>
    <dxf>
      <alignment horizontal="left" vertical="center" textRotation="0" wrapText="0" indent="0" justifyLastLine="0" shrinkToFit="0" readingOrder="0"/>
    </dxf>
    <dxf>
      <fill>
        <patternFill patternType="none"/>
      </fill>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auto="1"/>
        </patternFill>
      </fill>
    </dxf>
    <dxf>
      <fill>
        <patternFill patternType="none">
          <fgColor indexed="64"/>
          <bgColor indexed="65"/>
        </patternFill>
      </fill>
      <border diagonalUp="0" diagonalDown="0" outline="0">
        <left/>
        <right style="hair">
          <color indexed="64"/>
        </right>
        <top style="hair">
          <color indexed="64"/>
        </top>
        <bottom/>
      </border>
    </dxf>
    <dxf>
      <alignment horizontal="left" vertical="center" textRotation="0" indent="0" justifyLastLine="0" shrinkToFit="0" readingOrder="0"/>
    </dxf>
    <dxf>
      <fill>
        <patternFill patternType="none">
          <fgColor indexed="64"/>
          <bgColor indexed="65"/>
        </patternFill>
      </fill>
      <border diagonalUp="0" diagonalDown="0" outline="0">
        <left/>
        <right style="hair">
          <color indexed="64"/>
        </right>
        <top style="hair">
          <color indexed="64"/>
        </top>
        <bottom/>
      </border>
    </dxf>
    <dxf>
      <fill>
        <patternFill patternType="none">
          <fgColor indexed="64"/>
          <bgColor theme="0"/>
        </patternFill>
      </fill>
      <alignment horizontal="left" vertical="center" textRotation="0" indent="0" justifyLastLine="0" shrinkToFit="0" readingOrder="0"/>
    </dxf>
    <dxf>
      <alignment horizontal="left" vertical="center" textRotation="0" indent="0" justifyLastLine="0" shrinkToFit="0" readingOrder="0"/>
    </dxf>
    <dxf>
      <font>
        <strike val="0"/>
        <outline val="0"/>
        <shadow val="0"/>
        <u val="none"/>
        <vertAlign val="baseline"/>
        <sz val="11"/>
        <color theme="0"/>
        <name val="Calibri"/>
        <scheme val="minor"/>
      </font>
      <fill>
        <patternFill patternType="none">
          <fgColor indexed="64"/>
          <bgColor auto="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color theme="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color theme="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color theme="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color theme="0"/>
      </font>
      <fill>
        <patternFill patternType="solid">
          <fgColor rgb="FFED3338"/>
          <bgColor rgb="FFEC3338"/>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color theme="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5"/>
        </left>
      </border>
    </dxf>
    <dxf>
      <border>
        <left style="thin">
          <color theme="5"/>
        </left>
      </border>
    </dxf>
    <dxf>
      <border>
        <top style="thin">
          <color theme="5"/>
        </top>
      </border>
    </dxf>
    <dxf>
      <border>
        <top style="thin">
          <color theme="5"/>
        </top>
      </border>
    </dxf>
    <dxf>
      <font>
        <b/>
        <color theme="1"/>
      </font>
    </dxf>
    <dxf>
      <font>
        <b/>
        <color theme="1"/>
      </font>
    </dxf>
    <dxf>
      <font>
        <b/>
        <color theme="1"/>
      </font>
      <border>
        <top style="double">
          <color theme="5"/>
        </top>
      </border>
    </dxf>
    <dxf>
      <font>
        <color theme="0"/>
      </font>
      <fill>
        <patternFill patternType="solid">
          <fgColor theme="5"/>
          <bgColor theme="5"/>
        </patternFill>
      </fill>
    </dxf>
    <dxf>
      <font>
        <color theme="1"/>
      </font>
      <border>
        <left style="thin">
          <color theme="5"/>
        </left>
        <right style="thin">
          <color theme="5"/>
        </right>
        <top style="thin">
          <color theme="5"/>
        </top>
        <bottom style="thin">
          <color theme="5"/>
        </bottom>
      </border>
    </dxf>
  </dxfs>
  <tableStyles count="2" defaultTableStyle="TableStyleMedium2" defaultPivotStyle="PivotStyleLight16">
    <tableStyle name="BK" pivot="0" count="9">
      <tableStyleElement type="wholeTable" dxfId="167"/>
      <tableStyleElement type="headerRow" dxfId="166"/>
      <tableStyleElement type="totalRow" dxfId="165"/>
      <tableStyleElement type="firstColumn" dxfId="164"/>
      <tableStyleElement type="lastColumn" dxfId="163"/>
      <tableStyleElement type="firstRowStripe" dxfId="162"/>
      <tableStyleElement type="secondRowStripe" dxfId="161"/>
      <tableStyleElement type="firstColumnStripe" dxfId="160"/>
      <tableStyleElement type="secondColumnStripe" dxfId="159"/>
    </tableStyle>
    <tableStyle name="BM" pivot="0" count="9">
      <tableStyleElement type="wholeTable" dxfId="158"/>
      <tableStyleElement type="headerRow" dxfId="157"/>
      <tableStyleElement type="totalRow" dxfId="156"/>
      <tableStyleElement type="firstColumn" dxfId="155"/>
      <tableStyleElement type="lastColumn" dxfId="154"/>
      <tableStyleElement type="firstRowStripe" dxfId="153"/>
      <tableStyleElement type="secondRowStripe" dxfId="152"/>
      <tableStyleElement type="firstColumnStripe" dxfId="151"/>
      <tableStyleElement type="secondColumnStripe" dxfId="150"/>
    </tableStyle>
  </tableStyles>
  <colors>
    <mruColors>
      <color rgb="FF980B27"/>
      <color rgb="FFED3338"/>
      <color rgb="FF00CC00"/>
      <color rgb="FFEC3338"/>
      <color rgb="FF33CC33"/>
      <color rgb="FFB2C8E0"/>
      <color rgb="FFFFF3FE"/>
      <color rgb="FFFEE6FB"/>
      <color rgb="FF80808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image" Target="../media/image9.PNG"/></Relationships>
</file>

<file path=xl/charts/_rels/chart2.xml.rels><?xml version="1.0" encoding="UTF-8" standalone="yes"?>
<Relationships xmlns="http://schemas.openxmlformats.org/package/2006/relationships"><Relationship Id="rId1" Type="http://schemas.openxmlformats.org/officeDocument/2006/relationships/image" Target="../media/image9.PNG"/></Relationships>
</file>

<file path=xl/charts/_rels/chart3.xml.rels><?xml version="1.0" encoding="UTF-8" standalone="yes"?>
<Relationships xmlns="http://schemas.openxmlformats.org/package/2006/relationships"><Relationship Id="rId1" Type="http://schemas.openxmlformats.org/officeDocument/2006/relationships/image" Target="../media/image9.PNG"/></Relationships>
</file>

<file path=xl/charts/_rels/chart4.xml.rels><?xml version="1.0" encoding="UTF-8" standalone="yes"?>
<Relationships xmlns="http://schemas.openxmlformats.org/package/2006/relationships"><Relationship Id="rId1" Type="http://schemas.openxmlformats.org/officeDocument/2006/relationships/image" Target="../media/image9.PNG"/></Relationships>
</file>

<file path=xl/charts/_rels/chart5.xml.rels><?xml version="1.0" encoding="UTF-8" standalone="yes"?>
<Relationships xmlns="http://schemas.openxmlformats.org/package/2006/relationships"><Relationship Id="rId1" Type="http://schemas.openxmlformats.org/officeDocument/2006/relationships/image" Target="../media/image9.PNG"/></Relationships>
</file>

<file path=xl/charts/_rels/chart6.xml.rels><?xml version="1.0" encoding="UTF-8" standalone="yes"?>
<Relationships xmlns="http://schemas.openxmlformats.org/package/2006/relationships"><Relationship Id="rId1" Type="http://schemas.openxmlformats.org/officeDocument/2006/relationships/image" Target="../media/image9.PNG"/></Relationships>
</file>

<file path=xl/charts/_rels/chart7.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inherente</a:t>
            </a:r>
          </a:p>
        </c:rich>
      </c:tx>
      <c:overlay val="1"/>
    </c:title>
    <c:autoTitleDeleted val="0"/>
    <c:plotArea>
      <c:layout>
        <c:manualLayout>
          <c:layoutTarget val="inner"/>
          <c:xMode val="edge"/>
          <c:yMode val="edge"/>
          <c:x val="9.7565195273607616E-2"/>
          <c:y val="0.10108798707853826"/>
          <c:w val="0.87429977083632382"/>
          <c:h val="0.80337411669695136"/>
        </c:manualLayout>
      </c:layout>
      <c:scatterChart>
        <c:scatterStyle val="lineMarker"/>
        <c:varyColors val="0"/>
        <c:ser>
          <c:idx val="1"/>
          <c:order val="1"/>
          <c:tx>
            <c:v>RI</c:v>
          </c:tx>
          <c:spPr>
            <a:ln>
              <a:noFill/>
            </a:ln>
          </c:spPr>
          <c:xVal>
            <c:numRef>
              <c:f>'R I'!$AK$3</c:f>
              <c:numCache>
                <c:formatCode>0.00</c:formatCode>
                <c:ptCount val="1"/>
                <c:pt idx="0">
                  <c:v>4.3782051282051286</c:v>
                </c:pt>
              </c:numCache>
            </c:numRef>
          </c:xVal>
          <c:yVal>
            <c:numRef>
              <c:f>'R I'!$AJ$3</c:f>
              <c:numCache>
                <c:formatCode>0.00</c:formatCode>
                <c:ptCount val="1"/>
                <c:pt idx="0">
                  <c:v>3.6153846153846154</c:v>
                </c:pt>
              </c:numCache>
            </c:numRef>
          </c:yVal>
          <c:smooth val="0"/>
          <c:extLst>
            <c:ext xmlns:c16="http://schemas.microsoft.com/office/drawing/2014/chart" uri="{C3380CC4-5D6E-409C-BE32-E72D297353CC}">
              <c16:uniqueId val="{00000000-79BB-42DD-BBA3-B14D004FDA12}"/>
            </c:ext>
          </c:extLst>
        </c:ser>
        <c:ser>
          <c:idx val="0"/>
          <c:order val="0"/>
          <c:tx>
            <c:v>RI</c:v>
          </c:tx>
          <c:spPr>
            <a:ln>
              <a:noFill/>
            </a:ln>
          </c:spPr>
          <c:marker>
            <c:symbol val="circle"/>
            <c:size val="23"/>
            <c:spPr>
              <a:gradFill>
                <a:gsLst>
                  <a:gs pos="0">
                    <a:schemeClr val="bg1">
                      <a:lumMod val="50000"/>
                    </a:schemeClr>
                  </a:gs>
                  <a:gs pos="94000">
                    <a:schemeClr val="accent1">
                      <a:tint val="44500"/>
                      <a:satMod val="160000"/>
                    </a:schemeClr>
                  </a:gs>
                  <a:gs pos="100000">
                    <a:schemeClr val="accent1">
                      <a:tint val="23500"/>
                      <a:satMod val="160000"/>
                    </a:schemeClr>
                  </a:gs>
                </a:gsLst>
                <a:lin ang="5400000" scaled="0"/>
              </a:gradFill>
              <a:ln>
                <a:noFill/>
              </a:ln>
            </c:spPr>
          </c:marker>
          <c:dLbls>
            <c:spPr>
              <a:noFill/>
              <a:ln>
                <a:noFill/>
              </a:ln>
              <a:effectLst/>
            </c:spPr>
            <c:txPr>
              <a:bodyPr/>
              <a:lstStyle/>
              <a:p>
                <a:pPr>
                  <a:defRPr sz="1600" b="1"/>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 I'!$AK$3</c:f>
              <c:numCache>
                <c:formatCode>0.00</c:formatCode>
                <c:ptCount val="1"/>
                <c:pt idx="0">
                  <c:v>4.3782051282051286</c:v>
                </c:pt>
              </c:numCache>
            </c:numRef>
          </c:xVal>
          <c:yVal>
            <c:numRef>
              <c:f>'R I'!$AJ$3</c:f>
              <c:numCache>
                <c:formatCode>0.00</c:formatCode>
                <c:ptCount val="1"/>
                <c:pt idx="0">
                  <c:v>3.6153846153846154</c:v>
                </c:pt>
              </c:numCache>
            </c:numRef>
          </c:yVal>
          <c:smooth val="0"/>
          <c:extLst>
            <c:ext xmlns:c16="http://schemas.microsoft.com/office/drawing/2014/chart" uri="{C3380CC4-5D6E-409C-BE32-E72D297353CC}">
              <c16:uniqueId val="{00000001-79BB-42DD-BBA3-B14D004FDA12}"/>
            </c:ext>
          </c:extLst>
        </c:ser>
        <c:dLbls>
          <c:showLegendKey val="0"/>
          <c:showVal val="0"/>
          <c:showCatName val="0"/>
          <c:showSerName val="0"/>
          <c:showPercent val="0"/>
          <c:showBubbleSize val="0"/>
        </c:dLbls>
        <c:axId val="-83952016"/>
        <c:axId val="-83947120"/>
      </c:scatterChart>
      <c:valAx>
        <c:axId val="-83952016"/>
        <c:scaling>
          <c:orientation val="minMax"/>
          <c:max val="5"/>
          <c:min val="0"/>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overlay val="0"/>
        </c:title>
        <c:numFmt formatCode="0.00" sourceLinked="1"/>
        <c:majorTickMark val="none"/>
        <c:minorTickMark val="none"/>
        <c:tickLblPos val="nextTo"/>
        <c:txPr>
          <a:bodyPr/>
          <a:lstStyle/>
          <a:p>
            <a:pPr>
              <a:defRPr>
                <a:solidFill>
                  <a:schemeClr val="bg1"/>
                </a:solidFill>
              </a:defRPr>
            </a:pPr>
            <a:endParaRPr lang="es-CO"/>
          </a:p>
        </c:txPr>
        <c:crossAx val="-83947120"/>
        <c:crosses val="autoZero"/>
        <c:crossBetween val="midCat"/>
        <c:majorUnit val="1"/>
      </c:valAx>
      <c:valAx>
        <c:axId val="-83947120"/>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overlay val="0"/>
        </c:title>
        <c:numFmt formatCode="0.00" sourceLinked="1"/>
        <c:majorTickMark val="none"/>
        <c:minorTickMark val="none"/>
        <c:tickLblPos val="nextTo"/>
        <c:txPr>
          <a:bodyPr/>
          <a:lstStyle/>
          <a:p>
            <a:pPr>
              <a:defRPr>
                <a:solidFill>
                  <a:schemeClr val="bg1"/>
                </a:solidFill>
              </a:defRPr>
            </a:pPr>
            <a:endParaRPr lang="es-CO"/>
          </a:p>
        </c:txPr>
        <c:crossAx val="-83952016"/>
        <c:crosses val="autoZero"/>
        <c:crossBetween val="midCat"/>
        <c:majorUnit val="1"/>
        <c:minorUnit val="0.2"/>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inherente por factor de riesgo</a:t>
            </a:r>
          </a:p>
        </c:rich>
      </c:tx>
      <c:overlay val="1"/>
    </c:title>
    <c:autoTitleDeleted val="0"/>
    <c:plotArea>
      <c:layout>
        <c:manualLayout>
          <c:layoutTarget val="inner"/>
          <c:xMode val="edge"/>
          <c:yMode val="edge"/>
          <c:x val="9.7453731917325495E-2"/>
          <c:y val="0.12592957556998138"/>
          <c:w val="0.87429977083632382"/>
          <c:h val="0.80337411669695136"/>
        </c:manualLayout>
      </c:layout>
      <c:scatterChart>
        <c:scatterStyle val="lineMarker"/>
        <c:varyColors val="0"/>
        <c:ser>
          <c:idx val="0"/>
          <c:order val="0"/>
          <c:tx>
            <c:strRef>
              <c:f>'Mapa de riesgo'!$I$1</c:f>
              <c:strCache>
                <c:ptCount val="1"/>
                <c:pt idx="0">
                  <c:v>Pr</c:v>
                </c:pt>
              </c:strCache>
            </c:strRef>
          </c:tx>
          <c:spPr>
            <a:ln w="28575">
              <a:noFill/>
            </a:ln>
          </c:spPr>
          <c:marker>
            <c:symbol val="circle"/>
            <c:size val="21"/>
            <c:spPr>
              <a:solidFill>
                <a:srgbClr val="6F2927"/>
              </a:solidFill>
              <a:ln>
                <a:solidFill>
                  <a:srgbClr val="6F2927"/>
                </a:solidFill>
              </a:ln>
            </c:spPr>
          </c:marker>
          <c:dLbls>
            <c:spPr>
              <a:noFill/>
              <a:ln>
                <a:noFill/>
              </a:ln>
              <a:effectLst/>
            </c:spPr>
            <c:txPr>
              <a:bodyPr/>
              <a:lstStyle/>
              <a:p>
                <a:pPr>
                  <a:defRPr sz="12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'RI Consolidado por FR'!$D$6</c:f>
              <c:numCache>
                <c:formatCode>0.00</c:formatCode>
                <c:ptCount val="1"/>
                <c:pt idx="0">
                  <c:v>4.666666666666667</c:v>
                </c:pt>
              </c:numCache>
            </c:numRef>
          </c:xVal>
          <c:yVal>
            <c:numRef>
              <c:f>'RI Consolidado por FR'!$C$6</c:f>
              <c:numCache>
                <c:formatCode>0.00</c:formatCode>
                <c:ptCount val="1"/>
                <c:pt idx="0">
                  <c:v>2</c:v>
                </c:pt>
              </c:numCache>
            </c:numRef>
          </c:yVal>
          <c:smooth val="0"/>
          <c:extLst>
            <c:ext xmlns:c16="http://schemas.microsoft.com/office/drawing/2014/chart" uri="{C3380CC4-5D6E-409C-BE32-E72D297353CC}">
              <c16:uniqueId val="{00000000-1359-4FC7-A098-399432954BDD}"/>
            </c:ext>
          </c:extLst>
        </c:ser>
        <c:ser>
          <c:idx val="1"/>
          <c:order val="1"/>
          <c:tx>
            <c:strRef>
              <c:f>'Mapa de riesgo'!$I$2</c:f>
              <c:strCache>
                <c:ptCount val="1"/>
                <c:pt idx="0">
                  <c:v>Ca</c:v>
                </c:pt>
              </c:strCache>
            </c:strRef>
          </c:tx>
          <c:spPr>
            <a:ln>
              <a:solidFill>
                <a:schemeClr val="accent1"/>
              </a:solidFill>
            </a:ln>
          </c:spPr>
          <c:marker>
            <c:symbol val="circle"/>
            <c:size val="20"/>
            <c:spPr>
              <a:solidFill>
                <a:schemeClr val="tx2">
                  <a:lumMod val="60000"/>
                  <a:lumOff val="40000"/>
                </a:schemeClr>
              </a:solidFill>
            </c:spPr>
          </c:marker>
          <c:dLbls>
            <c:spPr>
              <a:noFill/>
              <a:ln>
                <a:noFill/>
              </a:ln>
              <a:effectLst/>
            </c:spPr>
            <c:txPr>
              <a:bodyPr/>
              <a:lstStyle/>
              <a:p>
                <a:pPr>
                  <a:defRPr sz="14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'RI Consolidado por FR'!$D$7</c:f>
              <c:numCache>
                <c:formatCode>0.00</c:formatCode>
                <c:ptCount val="1"/>
                <c:pt idx="0">
                  <c:v>4.25</c:v>
                </c:pt>
              </c:numCache>
            </c:numRef>
          </c:xVal>
          <c:yVal>
            <c:numRef>
              <c:f>'RI Consolidado por FR'!$C$7</c:f>
              <c:numCache>
                <c:formatCode>0.00</c:formatCode>
                <c:ptCount val="1"/>
                <c:pt idx="0">
                  <c:v>3.5</c:v>
                </c:pt>
              </c:numCache>
            </c:numRef>
          </c:yVal>
          <c:smooth val="0"/>
          <c:extLst>
            <c:ext xmlns:c16="http://schemas.microsoft.com/office/drawing/2014/chart" uri="{C3380CC4-5D6E-409C-BE32-E72D297353CC}">
              <c16:uniqueId val="{00000001-1359-4FC7-A098-399432954BDD}"/>
            </c:ext>
          </c:extLst>
        </c:ser>
        <c:ser>
          <c:idx val="2"/>
          <c:order val="2"/>
          <c:tx>
            <c:strRef>
              <c:f>'Mapa de riesgo'!$I$3</c:f>
              <c:strCache>
                <c:ptCount val="1"/>
                <c:pt idx="0">
                  <c:v>Se</c:v>
                </c:pt>
              </c:strCache>
            </c:strRef>
          </c:tx>
          <c:marker>
            <c:symbol val="circle"/>
            <c:size val="20"/>
            <c:spPr>
              <a:solidFill>
                <a:srgbClr val="002060"/>
              </a:solidFill>
              <a:ln>
                <a:solidFill>
                  <a:srgbClr val="002060"/>
                </a:solidFill>
              </a:ln>
            </c:spPr>
          </c:marker>
          <c:dPt>
            <c:idx val="0"/>
            <c:marker>
              <c:symbol val="auto"/>
            </c:marker>
            <c:bubble3D val="0"/>
            <c:spPr>
              <a:ln w="28575">
                <a:noFill/>
              </a:ln>
            </c:spPr>
            <c:extLst>
              <c:ext xmlns:c16="http://schemas.microsoft.com/office/drawing/2014/chart" uri="{C3380CC4-5D6E-409C-BE32-E72D297353CC}">
                <c16:uniqueId val="{00000001-CC42-44C7-AB70-3CFE246C2DE6}"/>
              </c:ext>
            </c:extLst>
          </c:dPt>
          <c:dLbls>
            <c:spPr>
              <a:solidFill>
                <a:sysClr val="window" lastClr="FFFFFF"/>
              </a:solidFill>
              <a:ln>
                <a:solidFill>
                  <a:sysClr val="windowText" lastClr="000000">
                    <a:lumMod val="65000"/>
                    <a:lumOff val="35000"/>
                  </a:sysClr>
                </a:solidFill>
              </a:ln>
              <a:effectLst/>
            </c:spPr>
            <c:txPr>
              <a:bodyPr/>
              <a:lstStyle/>
              <a:p>
                <a:pPr>
                  <a:defRPr b="1"/>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1"/>
              </c:ext>
            </c:extLst>
          </c:dLbls>
          <c:xVal>
            <c:numRef>
              <c:f>'RI Consolidado por FR'!$D$8</c:f>
              <c:numCache>
                <c:formatCode>0.00</c:formatCode>
                <c:ptCount val="1"/>
                <c:pt idx="0">
                  <c:v>3.25</c:v>
                </c:pt>
              </c:numCache>
            </c:numRef>
          </c:xVal>
          <c:yVal>
            <c:numRef>
              <c:f>'RI Consolidado por FR'!$C$8</c:f>
              <c:numCache>
                <c:formatCode>0.00</c:formatCode>
                <c:ptCount val="1"/>
                <c:pt idx="0">
                  <c:v>3</c:v>
                </c:pt>
              </c:numCache>
            </c:numRef>
          </c:yVal>
          <c:smooth val="0"/>
          <c:extLst>
            <c:ext xmlns:c16="http://schemas.microsoft.com/office/drawing/2014/chart" uri="{C3380CC4-5D6E-409C-BE32-E72D297353CC}">
              <c16:uniqueId val="{00000002-1359-4FC7-A098-399432954BDD}"/>
            </c:ext>
          </c:extLst>
        </c:ser>
        <c:ser>
          <c:idx val="3"/>
          <c:order val="3"/>
          <c:tx>
            <c:strRef>
              <c:f>'Mapa de riesgo'!$I$4</c:f>
              <c:strCache>
                <c:ptCount val="1"/>
                <c:pt idx="0">
                  <c:v>Se</c:v>
                </c:pt>
              </c:strCache>
            </c:strRef>
          </c:tx>
          <c:marker>
            <c:symbol val="circle"/>
            <c:size val="20"/>
            <c:spPr>
              <a:solidFill>
                <a:schemeClr val="tx2">
                  <a:lumMod val="60000"/>
                  <a:lumOff val="40000"/>
                </a:schemeClr>
              </a:solidFill>
            </c:spPr>
          </c:marker>
          <c:dPt>
            <c:idx val="0"/>
            <c:marker>
              <c:symbol val="auto"/>
            </c:marker>
            <c:bubble3D val="0"/>
            <c:spPr>
              <a:ln w="28575">
                <a:noFill/>
              </a:ln>
            </c:spPr>
            <c:extLst>
              <c:ext xmlns:c16="http://schemas.microsoft.com/office/drawing/2014/chart" uri="{C3380CC4-5D6E-409C-BE32-E72D297353CC}">
                <c16:uniqueId val="{00000003-CC42-44C7-AB70-3CFE246C2DE6}"/>
              </c:ext>
            </c:extLst>
          </c:dPt>
          <c:dLbls>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1"/>
              </c:ext>
            </c:extLst>
          </c:dLbls>
          <c:xVal>
            <c:numRef>
              <c:f>'RI Consolidado por FR'!$D$9</c:f>
              <c:numCache>
                <c:formatCode>0.00</c:formatCode>
                <c:ptCount val="1"/>
                <c:pt idx="0">
                  <c:v>4.375</c:v>
                </c:pt>
              </c:numCache>
            </c:numRef>
          </c:xVal>
          <c:yVal>
            <c:numRef>
              <c:f>'RI Consolidado por FR'!$C$9</c:f>
              <c:numCache>
                <c:formatCode>0.00</c:formatCode>
                <c:ptCount val="1"/>
                <c:pt idx="0">
                  <c:v>3.5</c:v>
                </c:pt>
              </c:numCache>
            </c:numRef>
          </c:yVal>
          <c:smooth val="0"/>
          <c:extLst>
            <c:ext xmlns:c16="http://schemas.microsoft.com/office/drawing/2014/chart" uri="{C3380CC4-5D6E-409C-BE32-E72D297353CC}">
              <c16:uniqueId val="{00000003-1359-4FC7-A098-399432954BDD}"/>
            </c:ext>
          </c:extLst>
        </c:ser>
        <c:ser>
          <c:idx val="5"/>
          <c:order val="4"/>
          <c:tx>
            <c:strRef>
              <c:f>'Mapa de riesgo'!$L$1</c:f>
              <c:strCache>
                <c:ptCount val="1"/>
                <c:pt idx="0">
                  <c:v>Cl</c:v>
                </c:pt>
              </c:strCache>
            </c:strRef>
          </c:tx>
          <c:spPr>
            <a:ln w="28575">
              <a:solidFill>
                <a:schemeClr val="tx1"/>
              </a:solidFill>
            </a:ln>
          </c:spPr>
          <c:marker>
            <c:symbol val="circle"/>
            <c:size val="21"/>
            <c:spPr>
              <a:solidFill>
                <a:schemeClr val="tx1"/>
              </a:solidFill>
              <a:ln>
                <a:solidFill>
                  <a:schemeClr val="tx1"/>
                </a:solidFill>
              </a:ln>
            </c:spPr>
          </c:marker>
          <c:dLbls>
            <c:spPr>
              <a:noFill/>
              <a:ln>
                <a:noFill/>
              </a:ln>
              <a:effectLst/>
            </c:spPr>
            <c:txPr>
              <a:bodyPr/>
              <a:lstStyle/>
              <a:p>
                <a:pPr>
                  <a:defRPr sz="12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'RI Consolidado por FR'!$D$10</c:f>
              <c:numCache>
                <c:formatCode>0.00</c:formatCode>
                <c:ptCount val="1"/>
                <c:pt idx="0">
                  <c:v>4.666666666666667</c:v>
                </c:pt>
              </c:numCache>
            </c:numRef>
          </c:xVal>
          <c:yVal>
            <c:numRef>
              <c:f>'RI Consolidado por FR'!$C$10</c:f>
              <c:numCache>
                <c:formatCode>0.00</c:formatCode>
                <c:ptCount val="1"/>
                <c:pt idx="0">
                  <c:v>3.6666666666666665</c:v>
                </c:pt>
              </c:numCache>
            </c:numRef>
          </c:yVal>
          <c:smooth val="0"/>
          <c:extLst>
            <c:ext xmlns:c16="http://schemas.microsoft.com/office/drawing/2014/chart" uri="{C3380CC4-5D6E-409C-BE32-E72D297353CC}">
              <c16:uniqueId val="{00000004-1359-4FC7-A098-399432954BDD}"/>
            </c:ext>
          </c:extLst>
        </c:ser>
        <c:ser>
          <c:idx val="4"/>
          <c:order val="5"/>
          <c:tx>
            <c:strRef>
              <c:f>'Mapa de riesgo'!$L$2</c:f>
              <c:strCache>
                <c:ptCount val="1"/>
                <c:pt idx="0">
                  <c:v>Di</c:v>
                </c:pt>
              </c:strCache>
            </c:strRef>
          </c:tx>
          <c:marker>
            <c:symbol val="circle"/>
            <c:size val="20"/>
          </c:marker>
          <c:xVal>
            <c:numRef>
              <c:f>'RI Consolidado por FR'!$D$11</c:f>
              <c:numCache>
                <c:formatCode>0.00</c:formatCode>
                <c:ptCount val="1"/>
                <c:pt idx="0">
                  <c:v>4.5</c:v>
                </c:pt>
              </c:numCache>
            </c:numRef>
          </c:xVal>
          <c:yVal>
            <c:numRef>
              <c:f>'RI Consolidado por FR'!$C$11</c:f>
              <c:numCache>
                <c:formatCode>0.00</c:formatCode>
                <c:ptCount val="1"/>
                <c:pt idx="0">
                  <c:v>5</c:v>
                </c:pt>
              </c:numCache>
            </c:numRef>
          </c:yVal>
          <c:smooth val="0"/>
          <c:extLst>
            <c:ext xmlns:c16="http://schemas.microsoft.com/office/drawing/2014/chart" uri="{C3380CC4-5D6E-409C-BE32-E72D297353CC}">
              <c16:uniqueId val="{00000005-1359-4FC7-A098-399432954BDD}"/>
            </c:ext>
          </c:extLst>
        </c:ser>
        <c:ser>
          <c:idx val="6"/>
          <c:order val="6"/>
          <c:tx>
            <c:strRef>
              <c:f>'Mapa de riesgo'!$L$3</c:f>
              <c:strCache>
                <c:ptCount val="1"/>
                <c:pt idx="0">
                  <c:v>Co</c:v>
                </c:pt>
              </c:strCache>
            </c:strRef>
          </c:tx>
          <c:xVal>
            <c:numRef>
              <c:f>'RI Consolidado por FR'!$D$12</c:f>
              <c:numCache>
                <c:formatCode>0.00</c:formatCode>
                <c:ptCount val="1"/>
                <c:pt idx="0">
                  <c:v>4.5</c:v>
                </c:pt>
              </c:numCache>
            </c:numRef>
          </c:xVal>
          <c:yVal>
            <c:numRef>
              <c:f>'RI Consolidado por FR'!$C$12</c:f>
              <c:numCache>
                <c:formatCode>0.00</c:formatCode>
                <c:ptCount val="1"/>
                <c:pt idx="0">
                  <c:v>5</c:v>
                </c:pt>
              </c:numCache>
            </c:numRef>
          </c:yVal>
          <c:smooth val="0"/>
          <c:extLst>
            <c:ext xmlns:c16="http://schemas.microsoft.com/office/drawing/2014/chart" uri="{C3380CC4-5D6E-409C-BE32-E72D297353CC}">
              <c16:uniqueId val="{00000001-0D98-4E04-B241-AD386B80DB04}"/>
            </c:ext>
          </c:extLst>
        </c:ser>
        <c:ser>
          <c:idx val="7"/>
          <c:order val="7"/>
          <c:tx>
            <c:strRef>
              <c:f>'Mapa de riesgo'!$L$4</c:f>
              <c:strCache>
                <c:ptCount val="1"/>
                <c:pt idx="0">
                  <c:v>Co</c:v>
                </c:pt>
              </c:strCache>
            </c:strRef>
          </c:tx>
          <c:xVal>
            <c:numRef>
              <c:f>'RI Consolidado por FR'!$D$13</c:f>
              <c:numCache>
                <c:formatCode>0.00</c:formatCode>
                <c:ptCount val="1"/>
                <c:pt idx="0">
                  <c:v>4.375</c:v>
                </c:pt>
              </c:numCache>
            </c:numRef>
          </c:xVal>
          <c:yVal>
            <c:numRef>
              <c:f>'RI Consolidado por FR'!$C$13</c:f>
              <c:numCache>
                <c:formatCode>0.00</c:formatCode>
                <c:ptCount val="1"/>
                <c:pt idx="0">
                  <c:v>3.5</c:v>
                </c:pt>
              </c:numCache>
            </c:numRef>
          </c:yVal>
          <c:smooth val="0"/>
          <c:extLst>
            <c:ext xmlns:c16="http://schemas.microsoft.com/office/drawing/2014/chart" uri="{C3380CC4-5D6E-409C-BE32-E72D297353CC}">
              <c16:uniqueId val="{00000008-0D98-4E04-B241-AD386B80DB04}"/>
            </c:ext>
          </c:extLst>
        </c:ser>
        <c:dLbls>
          <c:showLegendKey val="0"/>
          <c:showVal val="0"/>
          <c:showCatName val="0"/>
          <c:showSerName val="0"/>
          <c:showPercent val="0"/>
          <c:showBubbleSize val="0"/>
        </c:dLbls>
        <c:axId val="-83945488"/>
        <c:axId val="-83938960"/>
      </c:scatterChart>
      <c:valAx>
        <c:axId val="-83945488"/>
        <c:scaling>
          <c:orientation val="minMax"/>
          <c:max val="5.5"/>
          <c:min val="0.5"/>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overlay val="0"/>
        </c:title>
        <c:numFmt formatCode="0.00" sourceLinked="1"/>
        <c:majorTickMark val="none"/>
        <c:minorTickMark val="none"/>
        <c:tickLblPos val="nextTo"/>
        <c:txPr>
          <a:bodyPr/>
          <a:lstStyle/>
          <a:p>
            <a:pPr>
              <a:defRPr>
                <a:solidFill>
                  <a:schemeClr val="bg1"/>
                </a:solidFill>
              </a:defRPr>
            </a:pPr>
            <a:endParaRPr lang="es-CO"/>
          </a:p>
        </c:txPr>
        <c:crossAx val="-83938960"/>
        <c:crosses val="autoZero"/>
        <c:crossBetween val="midCat"/>
        <c:majorUnit val="0.5"/>
      </c:valAx>
      <c:valAx>
        <c:axId val="-83938960"/>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overlay val="0"/>
        </c:title>
        <c:numFmt formatCode="0.00" sourceLinked="1"/>
        <c:majorTickMark val="none"/>
        <c:minorTickMark val="none"/>
        <c:tickLblPos val="nextTo"/>
        <c:txPr>
          <a:bodyPr/>
          <a:lstStyle/>
          <a:p>
            <a:pPr>
              <a:defRPr>
                <a:solidFill>
                  <a:schemeClr val="bg1"/>
                </a:solidFill>
              </a:defRPr>
            </a:pPr>
            <a:endParaRPr lang="es-CO"/>
          </a:p>
        </c:txPr>
        <c:crossAx val="-83945488"/>
        <c:crosses val="autoZero"/>
        <c:crossBetween val="midCat"/>
        <c:majorUnit val="0.5"/>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inherente por proceso/área de práctica</a:t>
            </a:r>
          </a:p>
        </c:rich>
      </c:tx>
      <c:overlay val="1"/>
    </c:title>
    <c:autoTitleDeleted val="0"/>
    <c:plotArea>
      <c:layout>
        <c:manualLayout>
          <c:layoutTarget val="inner"/>
          <c:xMode val="edge"/>
          <c:yMode val="edge"/>
          <c:x val="8.9250421508290143E-2"/>
          <c:y val="0.10108798707853826"/>
          <c:w val="0.87429977083632382"/>
          <c:h val="0.80337411669695136"/>
        </c:manualLayout>
      </c:layout>
      <c:scatterChart>
        <c:scatterStyle val="lineMarker"/>
        <c:varyColors val="0"/>
        <c:ser>
          <c:idx val="0"/>
          <c:order val="0"/>
          <c:tx>
            <c:strRef>
              <c:f>'Mapa de riesgo'!$Q$1</c:f>
              <c:strCache>
                <c:ptCount val="1"/>
                <c:pt idx="0">
                  <c:v>Ge</c:v>
                </c:pt>
              </c:strCache>
            </c:strRef>
          </c:tx>
          <c:spPr>
            <a:ln w="28575">
              <a:noFill/>
            </a:ln>
          </c:spPr>
          <c:marker>
            <c:symbol val="circle"/>
            <c:size val="19"/>
            <c:spPr>
              <a:solidFill>
                <a:schemeClr val="tx2">
                  <a:lumMod val="75000"/>
                </a:schemeClr>
              </a:solidFill>
            </c:spPr>
          </c:marker>
          <c:xVal>
            <c:numRef>
              <c:f>'RI Consolidado por FR'!$J$13</c:f>
              <c:numCache>
                <c:formatCode>0.00</c:formatCode>
                <c:ptCount val="1"/>
                <c:pt idx="0">
                  <c:v>4.666666666666667</c:v>
                </c:pt>
              </c:numCache>
            </c:numRef>
          </c:xVal>
          <c:yVal>
            <c:numRef>
              <c:f>'RI Consolidado por FR'!$I$13</c:f>
              <c:numCache>
                <c:formatCode>0.00</c:formatCode>
                <c:ptCount val="1"/>
                <c:pt idx="0">
                  <c:v>2</c:v>
                </c:pt>
              </c:numCache>
            </c:numRef>
          </c:yVal>
          <c:smooth val="0"/>
          <c:extLst>
            <c:ext xmlns:c16="http://schemas.microsoft.com/office/drawing/2014/chart" uri="{C3380CC4-5D6E-409C-BE32-E72D297353CC}">
              <c16:uniqueId val="{00000000-6071-48E2-A3E7-6732A195A1C3}"/>
            </c:ext>
          </c:extLst>
        </c:ser>
        <c:ser>
          <c:idx val="1"/>
          <c:order val="1"/>
          <c:tx>
            <c:strRef>
              <c:f>'Mapa de riesgo'!$Q$2</c:f>
              <c:strCache>
                <c:ptCount val="1"/>
                <c:pt idx="0">
                  <c:v>Ta</c:v>
                </c:pt>
              </c:strCache>
            </c:strRef>
          </c:tx>
          <c:spPr>
            <a:ln w="28575">
              <a:noFill/>
            </a:ln>
          </c:spPr>
          <c:marker>
            <c:symbol val="circle"/>
            <c:size val="18"/>
          </c:marker>
          <c:xVal>
            <c:numRef>
              <c:f>'RI Consolidado por FR'!$J$10</c:f>
              <c:numCache>
                <c:formatCode>0.00</c:formatCode>
                <c:ptCount val="1"/>
                <c:pt idx="0">
                  <c:v>4.75</c:v>
                </c:pt>
              </c:numCache>
            </c:numRef>
          </c:xVal>
          <c:yVal>
            <c:numRef>
              <c:f>'RI Consolidado por FR'!$I$10</c:f>
              <c:numCache>
                <c:formatCode>0.00</c:formatCode>
                <c:ptCount val="1"/>
                <c:pt idx="0">
                  <c:v>4</c:v>
                </c:pt>
              </c:numCache>
            </c:numRef>
          </c:yVal>
          <c:smooth val="0"/>
          <c:extLst>
            <c:ext xmlns:c16="http://schemas.microsoft.com/office/drawing/2014/chart" uri="{C3380CC4-5D6E-409C-BE32-E72D297353CC}">
              <c16:uniqueId val="{00000002-6071-48E2-A3E7-6732A195A1C3}"/>
            </c:ext>
          </c:extLst>
        </c:ser>
        <c:ser>
          <c:idx val="2"/>
          <c:order val="2"/>
          <c:tx>
            <c:strRef>
              <c:f>'Mapa de riesgo'!$Q$3</c:f>
              <c:strCache>
                <c:ptCount val="1"/>
                <c:pt idx="0">
                  <c:v>Gt</c:v>
                </c:pt>
              </c:strCache>
            </c:strRef>
          </c:tx>
          <c:spPr>
            <a:ln w="28575">
              <a:noFill/>
            </a:ln>
          </c:spPr>
          <c:marker>
            <c:symbol val="circle"/>
            <c:size val="18"/>
          </c:marker>
          <c:dPt>
            <c:idx val="0"/>
            <c:marker>
              <c:spPr>
                <a:solidFill>
                  <a:schemeClr val="tx1"/>
                </a:solidFill>
                <a:ln>
                  <a:solidFill>
                    <a:schemeClr val="tx1"/>
                  </a:solidFill>
                </a:ln>
              </c:spPr>
            </c:marker>
            <c:bubble3D val="0"/>
            <c:extLst>
              <c:ext xmlns:c16="http://schemas.microsoft.com/office/drawing/2014/chart" uri="{C3380CC4-5D6E-409C-BE32-E72D297353CC}">
                <c16:uniqueId val="{00000000-9FC1-4598-8AA2-EDE13AF961FD}"/>
              </c:ext>
            </c:extLst>
          </c:dPt>
          <c:dLbls>
            <c:spPr>
              <a:noFill/>
              <a:ln>
                <a:noFill/>
              </a:ln>
              <a:effectLst/>
            </c:spPr>
            <c:txPr>
              <a:bodyPr/>
              <a:lstStyle/>
              <a:p>
                <a:pPr>
                  <a:defRPr sz="10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'RI Consolidado por FR'!$J$6</c:f>
              <c:numCache>
                <c:formatCode>0.00</c:formatCode>
                <c:ptCount val="1"/>
                <c:pt idx="0">
                  <c:v>4.375</c:v>
                </c:pt>
              </c:numCache>
            </c:numRef>
          </c:xVal>
          <c:yVal>
            <c:numRef>
              <c:f>'RI Consolidado por FR'!$I$6</c:f>
              <c:numCache>
                <c:formatCode>0.00</c:formatCode>
                <c:ptCount val="1"/>
                <c:pt idx="0">
                  <c:v>3</c:v>
                </c:pt>
              </c:numCache>
            </c:numRef>
          </c:yVal>
          <c:smooth val="0"/>
          <c:extLst>
            <c:ext xmlns:c16="http://schemas.microsoft.com/office/drawing/2014/chart" uri="{C3380CC4-5D6E-409C-BE32-E72D297353CC}">
              <c16:uniqueId val="{00000003-6071-48E2-A3E7-6732A195A1C3}"/>
            </c:ext>
          </c:extLst>
        </c:ser>
        <c:ser>
          <c:idx val="3"/>
          <c:order val="3"/>
          <c:tx>
            <c:strRef>
              <c:f>'Mapa de riesgo'!$Q$4</c:f>
              <c:strCache>
                <c:ptCount val="1"/>
                <c:pt idx="0">
                  <c:v>Ex</c:v>
                </c:pt>
              </c:strCache>
            </c:strRef>
          </c:tx>
          <c:spPr>
            <a:ln w="28575">
              <a:noFill/>
            </a:ln>
          </c:spPr>
          <c:marker>
            <c:symbol val="circle"/>
            <c:size val="18"/>
            <c:spPr>
              <a:ln>
                <a:solidFill>
                  <a:srgbClr val="7030A0"/>
                </a:solidFill>
              </a:ln>
            </c:spPr>
          </c:marker>
          <c:xVal>
            <c:numRef>
              <c:f>'RI Consolidado por FR'!$J$11</c:f>
              <c:numCache>
                <c:formatCode>0.00</c:formatCode>
                <c:ptCount val="1"/>
                <c:pt idx="0">
                  <c:v>3.25</c:v>
                </c:pt>
              </c:numCache>
            </c:numRef>
          </c:xVal>
          <c:yVal>
            <c:numRef>
              <c:f>'RI Consolidado por FR'!$I$11</c:f>
              <c:numCache>
                <c:formatCode>0.00</c:formatCode>
                <c:ptCount val="1"/>
                <c:pt idx="0">
                  <c:v>3</c:v>
                </c:pt>
              </c:numCache>
            </c:numRef>
          </c:yVal>
          <c:smooth val="0"/>
          <c:extLst>
            <c:ext xmlns:c16="http://schemas.microsoft.com/office/drawing/2014/chart" uri="{C3380CC4-5D6E-409C-BE32-E72D297353CC}">
              <c16:uniqueId val="{00000004-6071-48E2-A3E7-6732A195A1C3}"/>
            </c:ext>
          </c:extLst>
        </c:ser>
        <c:ser>
          <c:idx val="4"/>
          <c:order val="4"/>
          <c:tx>
            <c:strRef>
              <c:f>'Mapa de riesgo'!$T$1</c:f>
              <c:strCache>
                <c:ptCount val="1"/>
                <c:pt idx="0">
                  <c:v>Ge</c:v>
                </c:pt>
              </c:strCache>
            </c:strRef>
          </c:tx>
          <c:spPr>
            <a:ln w="28575">
              <a:noFill/>
            </a:ln>
          </c:spPr>
          <c:marker>
            <c:symbol val="circle"/>
            <c:size val="20"/>
          </c:marker>
          <c:dPt>
            <c:idx val="0"/>
            <c:marker>
              <c:spPr>
                <a:solidFill>
                  <a:srgbClr val="00B0F0"/>
                </a:solidFill>
              </c:spPr>
            </c:marker>
            <c:bubble3D val="0"/>
            <c:extLst>
              <c:ext xmlns:c16="http://schemas.microsoft.com/office/drawing/2014/chart" uri="{C3380CC4-5D6E-409C-BE32-E72D297353CC}">
                <c16:uniqueId val="{00000001-9FC1-4598-8AA2-EDE13AF961FD}"/>
              </c:ext>
            </c:extLst>
          </c:dPt>
          <c:dLbls>
            <c:dLbl>
              <c:idx val="0"/>
              <c:spPr/>
              <c:txPr>
                <a:bodyPr/>
                <a:lstStyle/>
                <a:p>
                  <a:pPr>
                    <a:defRPr sz="1000" b="1">
                      <a:solidFill>
                        <a:schemeClr val="bg1"/>
                      </a:solidFill>
                    </a:defRPr>
                  </a:pPr>
                  <a:endParaRPr lang="es-CO"/>
                </a:p>
              </c:txPr>
              <c:dLblPos val="ctr"/>
              <c:showLegendKey val="0"/>
              <c:showVal val="0"/>
              <c:showCatName val="0"/>
              <c:showSerName val="1"/>
              <c:showPercent val="0"/>
              <c:showBubbleSize val="0"/>
              <c:extLst>
                <c:ext xmlns:c16="http://schemas.microsoft.com/office/drawing/2014/chart" uri="{C3380CC4-5D6E-409C-BE32-E72D297353CC}">
                  <c16:uniqueId val="{00000001-9FC1-4598-8AA2-EDE13AF961FD}"/>
                </c:ext>
              </c:extLst>
            </c:dLbl>
            <c:spPr>
              <a:noFill/>
              <a:ln>
                <a:noFill/>
              </a:ln>
              <a:effectLst/>
            </c:spPr>
            <c:txPr>
              <a:bodyPr/>
              <a:lstStyle/>
              <a:p>
                <a:pPr>
                  <a:defRPr b="1"/>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'RI Consolidado por FR'!$J$7</c:f>
              <c:numCache>
                <c:formatCode>0.00</c:formatCode>
                <c:ptCount val="1"/>
                <c:pt idx="0">
                  <c:v>4</c:v>
                </c:pt>
              </c:numCache>
            </c:numRef>
          </c:xVal>
          <c:yVal>
            <c:numRef>
              <c:f>'RI Consolidado por FR'!$I$7</c:f>
              <c:numCache>
                <c:formatCode>0.00</c:formatCode>
                <c:ptCount val="1"/>
                <c:pt idx="0">
                  <c:v>4</c:v>
                </c:pt>
              </c:numCache>
            </c:numRef>
          </c:yVal>
          <c:smooth val="0"/>
          <c:extLst>
            <c:ext xmlns:c16="http://schemas.microsoft.com/office/drawing/2014/chart" uri="{C3380CC4-5D6E-409C-BE32-E72D297353CC}">
              <c16:uniqueId val="{00000005-6071-48E2-A3E7-6732A195A1C3}"/>
            </c:ext>
          </c:extLst>
        </c:ser>
        <c:ser>
          <c:idx val="5"/>
          <c:order val="5"/>
          <c:tx>
            <c:strRef>
              <c:f>'Mapa de riesgo'!$T$2</c:f>
              <c:strCache>
                <c:ptCount val="1"/>
                <c:pt idx="0">
                  <c:v>Ge</c:v>
                </c:pt>
              </c:strCache>
            </c:strRef>
          </c:tx>
          <c:spPr>
            <a:ln w="28575">
              <a:noFill/>
            </a:ln>
          </c:spPr>
          <c:marker>
            <c:spPr>
              <a:solidFill>
                <a:schemeClr val="bg1">
                  <a:lumMod val="65000"/>
                </a:schemeClr>
              </a:solidFill>
            </c:spPr>
          </c:marker>
          <c:dLbls>
            <c:dLbl>
              <c:idx val="0"/>
              <c:spPr>
                <a:solidFill>
                  <a:schemeClr val="accent2"/>
                </a:solidFill>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2-9FC1-4598-8AA2-EDE13AF961FD}"/>
                </c:ext>
              </c:extLst>
            </c:dLbl>
            <c:spPr>
              <a:solidFill>
                <a:schemeClr val="accent2"/>
              </a:solidFill>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'RI Consolidado por FR'!$J$8</c:f>
              <c:numCache>
                <c:formatCode>0.00</c:formatCode>
                <c:ptCount val="1"/>
                <c:pt idx="0">
                  <c:v>3.875</c:v>
                </c:pt>
              </c:numCache>
            </c:numRef>
          </c:xVal>
          <c:yVal>
            <c:numRef>
              <c:f>'RI Consolidado por FR'!$I$8</c:f>
              <c:numCache>
                <c:formatCode>0.00</c:formatCode>
                <c:ptCount val="1"/>
                <c:pt idx="0">
                  <c:v>3.5</c:v>
                </c:pt>
              </c:numCache>
            </c:numRef>
          </c:yVal>
          <c:smooth val="0"/>
          <c:extLst>
            <c:ext xmlns:c16="http://schemas.microsoft.com/office/drawing/2014/chart" uri="{C3380CC4-5D6E-409C-BE32-E72D297353CC}">
              <c16:uniqueId val="{00000006-6071-48E2-A3E7-6732A195A1C3}"/>
            </c:ext>
          </c:extLst>
        </c:ser>
        <c:ser>
          <c:idx val="6"/>
          <c:order val="6"/>
          <c:tx>
            <c:strRef>
              <c:f>'Mapa de riesgo'!$T$3</c:f>
              <c:strCache>
                <c:ptCount val="1"/>
                <c:pt idx="0">
                  <c:v>Su</c:v>
                </c:pt>
              </c:strCache>
            </c:strRef>
          </c:tx>
          <c:spPr>
            <a:ln w="28575">
              <a:noFill/>
            </a:ln>
          </c:spPr>
          <c:marker>
            <c:symbol val="circle"/>
            <c:size val="20"/>
          </c:marker>
          <c:xVal>
            <c:numRef>
              <c:f>'RI Consolidado por FR'!$J$14</c:f>
              <c:numCache>
                <c:formatCode>0.00</c:formatCode>
                <c:ptCount val="1"/>
                <c:pt idx="0">
                  <c:v>5</c:v>
                </c:pt>
              </c:numCache>
            </c:numRef>
          </c:xVal>
          <c:yVal>
            <c:numRef>
              <c:f>'RI Consolidado por FR'!$I$14</c:f>
              <c:numCache>
                <c:formatCode>0.00</c:formatCode>
                <c:ptCount val="1"/>
                <c:pt idx="0">
                  <c:v>3</c:v>
                </c:pt>
              </c:numCache>
            </c:numRef>
          </c:yVal>
          <c:smooth val="0"/>
          <c:extLst>
            <c:ext xmlns:c16="http://schemas.microsoft.com/office/drawing/2014/chart" uri="{C3380CC4-5D6E-409C-BE32-E72D297353CC}">
              <c16:uniqueId val="{00000008-6071-48E2-A3E7-6732A195A1C3}"/>
            </c:ext>
          </c:extLst>
        </c:ser>
        <c:ser>
          <c:idx val="7"/>
          <c:order val="7"/>
          <c:tx>
            <c:strRef>
              <c:f>'Mapa de riesgo'!$T$4</c:f>
              <c:strCache>
                <c:ptCount val="1"/>
                <c:pt idx="0">
                  <c:v>ES</c:v>
                </c:pt>
              </c:strCache>
            </c:strRef>
          </c:tx>
          <c:spPr>
            <a:ln w="28575">
              <a:noFill/>
            </a:ln>
          </c:spPr>
          <c:xVal>
            <c:numRef>
              <c:f>'RI Consolidado por FR'!$J$12</c:f>
              <c:numCache>
                <c:formatCode>0.00</c:formatCode>
                <c:ptCount val="1"/>
                <c:pt idx="0">
                  <c:v>4.5</c:v>
                </c:pt>
              </c:numCache>
            </c:numRef>
          </c:xVal>
          <c:yVal>
            <c:numRef>
              <c:f>'RI Consolidado por FR'!$I$12</c:f>
              <c:numCache>
                <c:formatCode>0.00</c:formatCode>
                <c:ptCount val="1"/>
                <c:pt idx="0">
                  <c:v>5</c:v>
                </c:pt>
              </c:numCache>
            </c:numRef>
          </c:yVal>
          <c:smooth val="0"/>
          <c:extLst>
            <c:ext xmlns:c16="http://schemas.microsoft.com/office/drawing/2014/chart" uri="{C3380CC4-5D6E-409C-BE32-E72D297353CC}">
              <c16:uniqueId val="{0000000B-6071-48E2-A3E7-6732A195A1C3}"/>
            </c:ext>
          </c:extLst>
        </c:ser>
        <c:ser>
          <c:idx val="8"/>
          <c:order val="8"/>
          <c:tx>
            <c:strRef>
              <c:f>'Mapa de riesgo'!$Y$1</c:f>
              <c:strCache>
                <c:ptCount val="1"/>
                <c:pt idx="0">
                  <c:v>Ct</c:v>
                </c:pt>
              </c:strCache>
            </c:strRef>
          </c:tx>
          <c:spPr>
            <a:ln w="28575">
              <a:noFill/>
            </a:ln>
          </c:spPr>
          <c:dLbls>
            <c:dLbl>
              <c:idx val="0"/>
              <c:spPr>
                <a:solidFill>
                  <a:schemeClr val="accent1">
                    <a:lumMod val="40000"/>
                    <a:lumOff val="60000"/>
                  </a:schemeClr>
                </a:solidFill>
              </c:spPr>
              <c:txPr>
                <a:bodyPr/>
                <a:lstStyle/>
                <a:p>
                  <a:pPr>
                    <a:defRPr sz="6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3-9FC1-4598-8AA2-EDE13AF961FD}"/>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1"/>
              </c:ext>
            </c:extLst>
          </c:dLbls>
          <c:xVal>
            <c:numRef>
              <c:f>'RI Consolidado por FR'!$J$9</c:f>
              <c:numCache>
                <c:formatCode>0.00</c:formatCode>
                <c:ptCount val="1"/>
                <c:pt idx="0">
                  <c:v>5</c:v>
                </c:pt>
              </c:numCache>
            </c:numRef>
          </c:xVal>
          <c:yVal>
            <c:numRef>
              <c:f>'RI Consolidado por FR'!$I$9</c:f>
              <c:numCache>
                <c:formatCode>0.00</c:formatCode>
                <c:ptCount val="1"/>
                <c:pt idx="0">
                  <c:v>4</c:v>
                </c:pt>
              </c:numCache>
            </c:numRef>
          </c:yVal>
          <c:smooth val="0"/>
          <c:extLst>
            <c:ext xmlns:c16="http://schemas.microsoft.com/office/drawing/2014/chart" uri="{C3380CC4-5D6E-409C-BE32-E72D297353CC}">
              <c16:uniqueId val="{00000005-0F2F-4A8E-86EB-2E3D321FED23}"/>
            </c:ext>
          </c:extLst>
        </c:ser>
        <c:dLbls>
          <c:showLegendKey val="0"/>
          <c:showVal val="0"/>
          <c:showCatName val="0"/>
          <c:showSerName val="0"/>
          <c:showPercent val="0"/>
          <c:showBubbleSize val="0"/>
        </c:dLbls>
        <c:axId val="-83949296"/>
        <c:axId val="-83949840"/>
      </c:scatterChart>
      <c:valAx>
        <c:axId val="-83949296"/>
        <c:scaling>
          <c:orientation val="minMax"/>
          <c:max val="5.5"/>
          <c:min val="0.5"/>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overlay val="0"/>
        </c:title>
        <c:numFmt formatCode="0.00" sourceLinked="1"/>
        <c:majorTickMark val="none"/>
        <c:minorTickMark val="none"/>
        <c:tickLblPos val="nextTo"/>
        <c:txPr>
          <a:bodyPr/>
          <a:lstStyle/>
          <a:p>
            <a:pPr>
              <a:defRPr>
                <a:solidFill>
                  <a:schemeClr val="bg1"/>
                </a:solidFill>
              </a:defRPr>
            </a:pPr>
            <a:endParaRPr lang="es-CO"/>
          </a:p>
        </c:txPr>
        <c:crossAx val="-83949840"/>
        <c:crosses val="autoZero"/>
        <c:crossBetween val="midCat"/>
        <c:majorUnit val="0.5"/>
      </c:valAx>
      <c:valAx>
        <c:axId val="-83949840"/>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overlay val="0"/>
        </c:title>
        <c:numFmt formatCode="0.00" sourceLinked="1"/>
        <c:majorTickMark val="none"/>
        <c:minorTickMark val="none"/>
        <c:tickLblPos val="nextTo"/>
        <c:txPr>
          <a:bodyPr/>
          <a:lstStyle/>
          <a:p>
            <a:pPr>
              <a:defRPr>
                <a:solidFill>
                  <a:schemeClr val="bg1"/>
                </a:solidFill>
              </a:defRPr>
            </a:pPr>
            <a:endParaRPr lang="es-CO"/>
          </a:p>
        </c:txPr>
        <c:crossAx val="-83949296"/>
        <c:crosses val="autoZero"/>
        <c:crossBetween val="midCat"/>
        <c:majorUnit val="0.5"/>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residual</a:t>
            </a:r>
          </a:p>
        </c:rich>
      </c:tx>
      <c:overlay val="1"/>
    </c:title>
    <c:autoTitleDeleted val="0"/>
    <c:plotArea>
      <c:layout>
        <c:manualLayout>
          <c:layoutTarget val="inner"/>
          <c:xMode val="edge"/>
          <c:yMode val="edge"/>
          <c:x val="9.7565195273607616E-2"/>
          <c:y val="0.10108798707853826"/>
          <c:w val="0.87429977083632382"/>
          <c:h val="0.80337411669695136"/>
        </c:manualLayout>
      </c:layout>
      <c:scatterChart>
        <c:scatterStyle val="lineMarker"/>
        <c:varyColors val="0"/>
        <c:ser>
          <c:idx val="2"/>
          <c:order val="0"/>
          <c:tx>
            <c:v>RR</c:v>
          </c:tx>
          <c:spPr>
            <a:ln w="28575">
              <a:noFill/>
            </a:ln>
          </c:spPr>
          <c:marker>
            <c:symbol val="circle"/>
            <c:size val="21"/>
            <c:spPr>
              <a:solidFill>
                <a:schemeClr val="bg1"/>
              </a:solidFill>
            </c:spPr>
          </c:marker>
          <c:dLbls>
            <c:spPr>
              <a:noFill/>
              <a:ln>
                <a:noFill/>
              </a:ln>
              <a:effectLst/>
            </c:spPr>
            <c:txPr>
              <a:bodyPr/>
              <a:lstStyle/>
              <a:p>
                <a:pPr>
                  <a:defRPr sz="1400" b="1"/>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 R'!$AE$3</c:f>
              <c:numCache>
                <c:formatCode>0.00</c:formatCode>
                <c:ptCount val="1"/>
                <c:pt idx="0">
                  <c:v>1.6153846153846154</c:v>
                </c:pt>
              </c:numCache>
            </c:numRef>
          </c:xVal>
          <c:yVal>
            <c:numRef>
              <c:f>'R R'!$AD$3</c:f>
              <c:numCache>
                <c:formatCode>0.00</c:formatCode>
                <c:ptCount val="1"/>
                <c:pt idx="0">
                  <c:v>1.5692307692307692</c:v>
                </c:pt>
              </c:numCache>
            </c:numRef>
          </c:yVal>
          <c:smooth val="0"/>
          <c:extLst>
            <c:ext xmlns:c16="http://schemas.microsoft.com/office/drawing/2014/chart" uri="{C3380CC4-5D6E-409C-BE32-E72D297353CC}">
              <c16:uniqueId val="{00000000-12E3-4DC6-9B82-7EA5596EF3EC}"/>
            </c:ext>
          </c:extLst>
        </c:ser>
        <c:dLbls>
          <c:showLegendKey val="0"/>
          <c:showVal val="0"/>
          <c:showCatName val="0"/>
          <c:showSerName val="0"/>
          <c:showPercent val="0"/>
          <c:showBubbleSize val="0"/>
        </c:dLbls>
        <c:axId val="-83953648"/>
        <c:axId val="-83950928"/>
      </c:scatterChart>
      <c:valAx>
        <c:axId val="-83953648"/>
        <c:scaling>
          <c:orientation val="minMax"/>
          <c:max val="5.5"/>
          <c:min val="0.5"/>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overlay val="0"/>
        </c:title>
        <c:numFmt formatCode="0.00" sourceLinked="1"/>
        <c:majorTickMark val="none"/>
        <c:minorTickMark val="none"/>
        <c:tickLblPos val="nextTo"/>
        <c:txPr>
          <a:bodyPr/>
          <a:lstStyle/>
          <a:p>
            <a:pPr>
              <a:defRPr>
                <a:solidFill>
                  <a:schemeClr val="bg1"/>
                </a:solidFill>
              </a:defRPr>
            </a:pPr>
            <a:endParaRPr lang="es-CO"/>
          </a:p>
        </c:txPr>
        <c:crossAx val="-83950928"/>
        <c:crosses val="autoZero"/>
        <c:crossBetween val="midCat"/>
        <c:majorUnit val="0.5"/>
      </c:valAx>
      <c:valAx>
        <c:axId val="-83950928"/>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overlay val="0"/>
        </c:title>
        <c:numFmt formatCode="0.00" sourceLinked="1"/>
        <c:majorTickMark val="none"/>
        <c:minorTickMark val="none"/>
        <c:tickLblPos val="nextTo"/>
        <c:txPr>
          <a:bodyPr/>
          <a:lstStyle/>
          <a:p>
            <a:pPr>
              <a:defRPr>
                <a:solidFill>
                  <a:schemeClr val="bg1"/>
                </a:solidFill>
              </a:defRPr>
            </a:pPr>
            <a:endParaRPr lang="es-CO"/>
          </a:p>
        </c:txPr>
        <c:crossAx val="-83953648"/>
        <c:crosses val="autoZero"/>
        <c:crossBetween val="midCat"/>
        <c:majorUnit val="0.5"/>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a:t>
            </a:r>
            <a:r>
              <a:rPr lang="en-US" sz="1800" b="1" i="0" u="none" strike="noStrike" baseline="0">
                <a:effectLst/>
              </a:rPr>
              <a:t>residual </a:t>
            </a:r>
            <a:r>
              <a:rPr lang="en-US">
                <a:latin typeface="Candara" panose="020E0502030303020204" pitchFamily="34" charset="0"/>
              </a:rPr>
              <a:t>por factor de riesgo</a:t>
            </a:r>
          </a:p>
        </c:rich>
      </c:tx>
      <c:overlay val="1"/>
    </c:title>
    <c:autoTitleDeleted val="0"/>
    <c:plotArea>
      <c:layout>
        <c:manualLayout>
          <c:layoutTarget val="inner"/>
          <c:xMode val="edge"/>
          <c:yMode val="edge"/>
          <c:x val="9.7565195273607616E-2"/>
          <c:y val="0.10108798707853826"/>
          <c:w val="0.87429977083632382"/>
          <c:h val="0.80337411669695136"/>
        </c:manualLayout>
      </c:layout>
      <c:scatterChart>
        <c:scatterStyle val="lineMarker"/>
        <c:varyColors val="0"/>
        <c:ser>
          <c:idx val="0"/>
          <c:order val="0"/>
          <c:tx>
            <c:strRef>
              <c:f>'Mapa de riesgo'!$I$34</c:f>
              <c:strCache>
                <c:ptCount val="1"/>
                <c:pt idx="0">
                  <c:v>Pr</c:v>
                </c:pt>
              </c:strCache>
            </c:strRef>
          </c:tx>
          <c:spPr>
            <a:ln w="28575">
              <a:solidFill>
                <a:schemeClr val="tx1"/>
              </a:solidFill>
            </a:ln>
          </c:spPr>
          <c:marker>
            <c:symbol val="circle"/>
            <c:size val="21"/>
            <c:spPr>
              <a:solidFill>
                <a:schemeClr val="tx1"/>
              </a:solidFill>
              <a:ln>
                <a:solidFill>
                  <a:schemeClr val="tx1"/>
                </a:solidFill>
              </a:ln>
            </c:spPr>
          </c:marker>
          <c:dLbls>
            <c:spPr>
              <a:noFill/>
              <a:ln>
                <a:noFill/>
              </a:ln>
              <a:effectLst/>
            </c:spPr>
            <c:txPr>
              <a:bodyPr/>
              <a:lstStyle/>
              <a:p>
                <a:pPr>
                  <a:defRPr sz="12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FR'!$D$6</c:f>
              <c:numCache>
                <c:formatCode>0.00</c:formatCode>
                <c:ptCount val="1"/>
                <c:pt idx="0">
                  <c:v>0.7</c:v>
                </c:pt>
              </c:numCache>
            </c:numRef>
          </c:xVal>
          <c:yVal>
            <c:numRef>
              <c:f>'RR Consolidado por FR'!$C$6</c:f>
              <c:numCache>
                <c:formatCode>0.00</c:formatCode>
                <c:ptCount val="1"/>
                <c:pt idx="0">
                  <c:v>0.7</c:v>
                </c:pt>
              </c:numCache>
            </c:numRef>
          </c:yVal>
          <c:smooth val="0"/>
          <c:extLst>
            <c:ext xmlns:c16="http://schemas.microsoft.com/office/drawing/2014/chart" uri="{C3380CC4-5D6E-409C-BE32-E72D297353CC}">
              <c16:uniqueId val="{00000000-6ECA-47F3-A4CF-6EBCAB6931FE}"/>
            </c:ext>
          </c:extLst>
        </c:ser>
        <c:ser>
          <c:idx val="1"/>
          <c:order val="1"/>
          <c:tx>
            <c:strRef>
              <c:f>'Mapa de riesgo'!$I$35</c:f>
              <c:strCache>
                <c:ptCount val="1"/>
                <c:pt idx="0">
                  <c:v>Ca</c:v>
                </c:pt>
              </c:strCache>
            </c:strRef>
          </c:tx>
          <c:spPr>
            <a:ln w="28575">
              <a:noFill/>
            </a:ln>
          </c:spPr>
          <c:marker>
            <c:symbol val="circle"/>
            <c:size val="21"/>
            <c:spPr>
              <a:solidFill>
                <a:srgbClr val="6F2927"/>
              </a:solidFill>
              <a:ln>
                <a:solidFill>
                  <a:srgbClr val="6F2927"/>
                </a:solidFill>
              </a:ln>
            </c:spPr>
          </c:marker>
          <c:dLbls>
            <c:spPr>
              <a:noFill/>
              <a:ln>
                <a:noFill/>
              </a:ln>
              <a:effectLst/>
            </c:spPr>
            <c:txPr>
              <a:bodyPr/>
              <a:lstStyle/>
              <a:p>
                <a:pPr>
                  <a:defRPr sz="12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FR'!$D$7</c:f>
              <c:numCache>
                <c:formatCode>0.00</c:formatCode>
                <c:ptCount val="1"/>
                <c:pt idx="0">
                  <c:v>2</c:v>
                </c:pt>
              </c:numCache>
            </c:numRef>
          </c:xVal>
          <c:yVal>
            <c:numRef>
              <c:f>'RR Consolidado por FR'!$C$7</c:f>
              <c:numCache>
                <c:formatCode>0.00</c:formatCode>
                <c:ptCount val="1"/>
                <c:pt idx="0">
                  <c:v>1.5</c:v>
                </c:pt>
              </c:numCache>
            </c:numRef>
          </c:yVal>
          <c:smooth val="0"/>
          <c:extLst>
            <c:ext xmlns:c16="http://schemas.microsoft.com/office/drawing/2014/chart" uri="{C3380CC4-5D6E-409C-BE32-E72D297353CC}">
              <c16:uniqueId val="{00000001-6ECA-47F3-A4CF-6EBCAB6931FE}"/>
            </c:ext>
          </c:extLst>
        </c:ser>
        <c:ser>
          <c:idx val="2"/>
          <c:order val="2"/>
          <c:tx>
            <c:strRef>
              <c:f>'Mapa de riesgo'!$I$36</c:f>
              <c:strCache>
                <c:ptCount val="1"/>
                <c:pt idx="0">
                  <c:v>Se</c:v>
                </c:pt>
              </c:strCache>
            </c:strRef>
          </c:tx>
          <c:spPr>
            <a:ln w="28575">
              <a:noFill/>
            </a:ln>
          </c:spPr>
          <c:marker>
            <c:symbol val="circle"/>
            <c:size val="20"/>
            <c:spPr>
              <a:solidFill>
                <a:srgbClr val="002060"/>
              </a:solidFill>
              <a:ln>
                <a:solidFill>
                  <a:srgbClr val="002060"/>
                </a:solidFill>
              </a:ln>
            </c:spPr>
          </c:marker>
          <c:dPt>
            <c:idx val="0"/>
            <c:marker>
              <c:spPr>
                <a:solidFill>
                  <a:schemeClr val="tx2">
                    <a:lumMod val="60000"/>
                    <a:lumOff val="40000"/>
                  </a:schemeClr>
                </a:solidFill>
              </c:spPr>
            </c:marker>
            <c:bubble3D val="0"/>
            <c:spPr>
              <a:ln>
                <a:solidFill>
                  <a:schemeClr val="accent1"/>
                </a:solidFill>
              </a:ln>
            </c:spPr>
            <c:extLst>
              <c:ext xmlns:c16="http://schemas.microsoft.com/office/drawing/2014/chart" uri="{C3380CC4-5D6E-409C-BE32-E72D297353CC}">
                <c16:uniqueId val="{00000001-439C-4C92-A4DE-FC2E9AC8FD8A}"/>
              </c:ext>
            </c:extLst>
          </c:dPt>
          <c:dLbls>
            <c:dLbl>
              <c:idx val="0"/>
              <c:spPr>
                <a:noFill/>
                <a:ln>
                  <a:noFill/>
                </a:ln>
                <a:effectLst/>
              </c:spPr>
              <c:txPr>
                <a:bodyPr/>
                <a:lstStyle/>
                <a:p>
                  <a:pPr>
                    <a:defRPr sz="1400">
                      <a:solidFill>
                        <a:schemeClr val="bg1"/>
                      </a:solidFill>
                    </a:defRPr>
                  </a:pPr>
                  <a:endParaRPr lang="es-CO"/>
                </a:p>
              </c:txPr>
              <c:dLblPos val="ctr"/>
              <c:showLegendKey val="0"/>
              <c:showVal val="0"/>
              <c:showCatName val="0"/>
              <c:showSerName val="1"/>
              <c:showPercent val="0"/>
              <c:showBubbleSize val="0"/>
              <c:extLst>
                <c:ext xmlns:c16="http://schemas.microsoft.com/office/drawing/2014/chart" uri="{C3380CC4-5D6E-409C-BE32-E72D297353CC}">
                  <c16:uniqueId val="{00000001-439C-4C92-A4DE-FC2E9AC8FD8A}"/>
                </c:ext>
              </c:extLst>
            </c:dLbl>
            <c:spPr>
              <a:noFill/>
              <a:ln>
                <a:noFill/>
              </a:ln>
              <a:effectLst/>
            </c:spPr>
            <c:txPr>
              <a:bodyPr/>
              <a:lstStyle/>
              <a:p>
                <a:pPr>
                  <a:defRPr sz="12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FR'!$D$8</c:f>
              <c:numCache>
                <c:formatCode>0.00</c:formatCode>
                <c:ptCount val="1"/>
                <c:pt idx="0">
                  <c:v>3.25</c:v>
                </c:pt>
              </c:numCache>
            </c:numRef>
          </c:xVal>
          <c:yVal>
            <c:numRef>
              <c:f>'RI Consolidado por FR'!$C$8</c:f>
              <c:numCache>
                <c:formatCode>0.00</c:formatCode>
                <c:ptCount val="1"/>
                <c:pt idx="0">
                  <c:v>3</c:v>
                </c:pt>
              </c:numCache>
            </c:numRef>
          </c:yVal>
          <c:smooth val="0"/>
          <c:extLst>
            <c:ext xmlns:c16="http://schemas.microsoft.com/office/drawing/2014/chart" uri="{C3380CC4-5D6E-409C-BE32-E72D297353CC}">
              <c16:uniqueId val="{00000002-6ECA-47F3-A4CF-6EBCAB6931FE}"/>
            </c:ext>
          </c:extLst>
        </c:ser>
        <c:ser>
          <c:idx val="3"/>
          <c:order val="3"/>
          <c:tx>
            <c:strRef>
              <c:f>'Mapa de riesgo'!$I$37</c:f>
              <c:strCache>
                <c:ptCount val="1"/>
                <c:pt idx="0">
                  <c:v>Se</c:v>
                </c:pt>
              </c:strCache>
            </c:strRef>
          </c:tx>
          <c:dLbls>
            <c:dLbl>
              <c:idx val="0"/>
              <c:spPr>
                <a:solidFill>
                  <a:schemeClr val="accent4"/>
                </a:solidFill>
              </c:spPr>
              <c:txPr>
                <a:bodyPr/>
                <a:lstStyle/>
                <a:p>
                  <a:pPr>
                    <a:defRPr sz="8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2-439C-4C92-A4DE-FC2E9AC8FD8A}"/>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1"/>
              </c:ext>
            </c:extLst>
          </c:dLbls>
          <c:xVal>
            <c:numRef>
              <c:f>'RR Consolidado por FR'!$D$9</c:f>
              <c:numCache>
                <c:formatCode>0.00</c:formatCode>
                <c:ptCount val="1"/>
                <c:pt idx="0">
                  <c:v>1</c:v>
                </c:pt>
              </c:numCache>
            </c:numRef>
          </c:xVal>
          <c:yVal>
            <c:numRef>
              <c:f>'RR Consolidado por FR'!$C$9</c:f>
              <c:numCache>
                <c:formatCode>0.00</c:formatCode>
                <c:ptCount val="1"/>
                <c:pt idx="0">
                  <c:v>1</c:v>
                </c:pt>
              </c:numCache>
            </c:numRef>
          </c:yVal>
          <c:smooth val="0"/>
          <c:extLst>
            <c:ext xmlns:c16="http://schemas.microsoft.com/office/drawing/2014/chart" uri="{C3380CC4-5D6E-409C-BE32-E72D297353CC}">
              <c16:uniqueId val="{00000003-6ECA-47F3-A4CF-6EBCAB6931FE}"/>
            </c:ext>
          </c:extLst>
        </c:ser>
        <c:ser>
          <c:idx val="4"/>
          <c:order val="4"/>
          <c:tx>
            <c:strRef>
              <c:f>'Mapa de riesgo'!$L$34</c:f>
              <c:strCache>
                <c:ptCount val="1"/>
                <c:pt idx="0">
                  <c:v>Cl</c:v>
                </c:pt>
              </c:strCache>
            </c:strRef>
          </c:tx>
          <c:dLbls>
            <c:dLbl>
              <c:idx val="0"/>
              <c:spPr>
                <a:solidFill>
                  <a:schemeClr val="accent3"/>
                </a:solidFill>
              </c:spPr>
              <c:txPr>
                <a:bodyPr/>
                <a:lstStyle/>
                <a:p>
                  <a:pPr>
                    <a:defRPr sz="8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4-DCDE-46E5-9E52-AFD410E59900}"/>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1"/>
              </c:ext>
            </c:extLst>
          </c:dLbls>
          <c:xVal>
            <c:numRef>
              <c:f>'RR Consolidado por FR'!$D$10</c:f>
              <c:numCache>
                <c:formatCode>0.00</c:formatCode>
                <c:ptCount val="1"/>
                <c:pt idx="0">
                  <c:v>3.3333333333333335</c:v>
                </c:pt>
              </c:numCache>
            </c:numRef>
          </c:xVal>
          <c:yVal>
            <c:numRef>
              <c:f>'RR Consolidado por FR'!$C$10</c:f>
              <c:numCache>
                <c:formatCode>0.00</c:formatCode>
                <c:ptCount val="1"/>
                <c:pt idx="0">
                  <c:v>2</c:v>
                </c:pt>
              </c:numCache>
            </c:numRef>
          </c:yVal>
          <c:smooth val="0"/>
          <c:extLst>
            <c:ext xmlns:c16="http://schemas.microsoft.com/office/drawing/2014/chart" uri="{C3380CC4-5D6E-409C-BE32-E72D297353CC}">
              <c16:uniqueId val="{00000001-DCDE-46E5-9E52-AFD410E59900}"/>
            </c:ext>
          </c:extLst>
        </c:ser>
        <c:ser>
          <c:idx val="5"/>
          <c:order val="5"/>
          <c:tx>
            <c:strRef>
              <c:f>'Mapa de riesgo'!$L$35</c:f>
              <c:strCache>
                <c:ptCount val="1"/>
                <c:pt idx="0">
                  <c:v>Di</c:v>
                </c:pt>
              </c:strCache>
            </c:strRef>
          </c:tx>
          <c:xVal>
            <c:numRef>
              <c:f>'RR Consolidado por FR'!$D$11</c:f>
              <c:numCache>
                <c:formatCode>0.00</c:formatCode>
                <c:ptCount val="1"/>
                <c:pt idx="0">
                  <c:v>4</c:v>
                </c:pt>
              </c:numCache>
            </c:numRef>
          </c:xVal>
          <c:yVal>
            <c:numRef>
              <c:f>'RR Consolidado por FR'!$C$11</c:f>
              <c:numCache>
                <c:formatCode>0.00</c:formatCode>
                <c:ptCount val="1"/>
                <c:pt idx="0">
                  <c:v>2.5</c:v>
                </c:pt>
              </c:numCache>
            </c:numRef>
          </c:yVal>
          <c:smooth val="0"/>
          <c:extLst>
            <c:ext xmlns:c16="http://schemas.microsoft.com/office/drawing/2014/chart" uri="{C3380CC4-5D6E-409C-BE32-E72D297353CC}">
              <c16:uniqueId val="{00000002-DCDE-46E5-9E52-AFD410E59900}"/>
            </c:ext>
          </c:extLst>
        </c:ser>
        <c:ser>
          <c:idx val="6"/>
          <c:order val="6"/>
          <c:tx>
            <c:strRef>
              <c:f>'Mapa de riesgo'!$L$36</c:f>
              <c:strCache>
                <c:ptCount val="1"/>
                <c:pt idx="0">
                  <c:v>Co</c:v>
                </c:pt>
              </c:strCache>
            </c:strRef>
          </c:tx>
          <c:xVal>
            <c:numRef>
              <c:f>'RR Consolidado por FR'!$D$12</c:f>
              <c:numCache>
                <c:formatCode>0.00</c:formatCode>
                <c:ptCount val="1"/>
                <c:pt idx="0">
                  <c:v>4</c:v>
                </c:pt>
              </c:numCache>
            </c:numRef>
          </c:xVal>
          <c:yVal>
            <c:numRef>
              <c:f>'RR Consolidado por FR'!$C$12</c:f>
              <c:numCache>
                <c:formatCode>0.00</c:formatCode>
                <c:ptCount val="1"/>
                <c:pt idx="0">
                  <c:v>2.5</c:v>
                </c:pt>
              </c:numCache>
            </c:numRef>
          </c:yVal>
          <c:smooth val="0"/>
          <c:extLst>
            <c:ext xmlns:c16="http://schemas.microsoft.com/office/drawing/2014/chart" uri="{C3380CC4-5D6E-409C-BE32-E72D297353CC}">
              <c16:uniqueId val="{00000003-DCDE-46E5-9E52-AFD410E59900}"/>
            </c:ext>
          </c:extLst>
        </c:ser>
        <c:ser>
          <c:idx val="7"/>
          <c:order val="7"/>
          <c:tx>
            <c:strRef>
              <c:f>'Mapa de riesgo'!$L$37</c:f>
              <c:strCache>
                <c:ptCount val="1"/>
                <c:pt idx="0">
                  <c:v>Co</c:v>
                </c:pt>
              </c:strCache>
            </c:strRef>
          </c:tx>
          <c:spPr>
            <a:ln w="25400" cap="flat" cmpd="sng" algn="ctr">
              <a:solidFill>
                <a:schemeClr val="accent3"/>
              </a:solidFill>
              <a:prstDash val="solid"/>
            </a:ln>
            <a:effectLst/>
          </c:spPr>
          <c:marker>
            <c:spPr>
              <a:solidFill>
                <a:schemeClr val="lt1"/>
              </a:solidFill>
              <a:ln w="25400" cap="flat" cmpd="sng" algn="ctr">
                <a:solidFill>
                  <a:schemeClr val="accent3"/>
                </a:solidFill>
                <a:prstDash val="solid"/>
              </a:ln>
              <a:effectLst/>
            </c:spPr>
          </c:marker>
          <c:xVal>
            <c:numRef>
              <c:f>'RR Consolidado por FR'!$D$13</c:f>
              <c:numCache>
                <c:formatCode>0.00</c:formatCode>
                <c:ptCount val="1"/>
                <c:pt idx="0">
                  <c:v>2</c:v>
                </c:pt>
              </c:numCache>
            </c:numRef>
          </c:xVal>
          <c:yVal>
            <c:numRef>
              <c:f>'RR Consolidado por FR'!$C$13</c:f>
              <c:numCache>
                <c:formatCode>0.00</c:formatCode>
                <c:ptCount val="1"/>
                <c:pt idx="0">
                  <c:v>1.5</c:v>
                </c:pt>
              </c:numCache>
            </c:numRef>
          </c:yVal>
          <c:smooth val="0"/>
          <c:extLst>
            <c:ext xmlns:c16="http://schemas.microsoft.com/office/drawing/2014/chart" uri="{C3380CC4-5D6E-409C-BE32-E72D297353CC}">
              <c16:uniqueId val="{00000000-3719-4A68-961E-82E1856C93D0}"/>
            </c:ext>
          </c:extLst>
        </c:ser>
        <c:dLbls>
          <c:showLegendKey val="0"/>
          <c:showVal val="0"/>
          <c:showCatName val="0"/>
          <c:showSerName val="0"/>
          <c:showPercent val="0"/>
          <c:showBubbleSize val="0"/>
        </c:dLbls>
        <c:axId val="-83940592"/>
        <c:axId val="-83940048"/>
      </c:scatterChart>
      <c:valAx>
        <c:axId val="-83940592"/>
        <c:scaling>
          <c:orientation val="minMax"/>
          <c:max val="5.5"/>
          <c:min val="0.5"/>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overlay val="0"/>
        </c:title>
        <c:numFmt formatCode="0.00" sourceLinked="1"/>
        <c:majorTickMark val="none"/>
        <c:minorTickMark val="none"/>
        <c:tickLblPos val="nextTo"/>
        <c:txPr>
          <a:bodyPr/>
          <a:lstStyle/>
          <a:p>
            <a:pPr>
              <a:defRPr>
                <a:solidFill>
                  <a:schemeClr val="bg1"/>
                </a:solidFill>
              </a:defRPr>
            </a:pPr>
            <a:endParaRPr lang="es-CO"/>
          </a:p>
        </c:txPr>
        <c:crossAx val="-83940048"/>
        <c:crosses val="autoZero"/>
        <c:crossBetween val="midCat"/>
        <c:majorUnit val="0.5"/>
      </c:valAx>
      <c:valAx>
        <c:axId val="-83940048"/>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overlay val="0"/>
        </c:title>
        <c:numFmt formatCode="0.00" sourceLinked="1"/>
        <c:majorTickMark val="none"/>
        <c:minorTickMark val="none"/>
        <c:tickLblPos val="nextTo"/>
        <c:txPr>
          <a:bodyPr/>
          <a:lstStyle/>
          <a:p>
            <a:pPr>
              <a:defRPr>
                <a:solidFill>
                  <a:schemeClr val="bg1"/>
                </a:solidFill>
              </a:defRPr>
            </a:pPr>
            <a:endParaRPr lang="es-CO"/>
          </a:p>
        </c:txPr>
        <c:crossAx val="-83940592"/>
        <c:crosses val="autoZero"/>
        <c:crossBetween val="midCat"/>
        <c:majorUnit val="0.5"/>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a:t>
            </a:r>
            <a:r>
              <a:rPr lang="en-US" sz="1800" b="1" i="0" u="none" strike="noStrike" baseline="0">
                <a:effectLst/>
              </a:rPr>
              <a:t>residual </a:t>
            </a:r>
            <a:r>
              <a:rPr lang="en-US">
                <a:latin typeface="Candara" panose="020E0502030303020204" pitchFamily="34" charset="0"/>
              </a:rPr>
              <a:t>por proceso/área de práctica</a:t>
            </a:r>
          </a:p>
        </c:rich>
      </c:tx>
      <c:layout>
        <c:manualLayout>
          <c:xMode val="edge"/>
          <c:yMode val="edge"/>
          <c:x val="0.19994364471352513"/>
          <c:y val="1.3545484777968173E-2"/>
        </c:manualLayout>
      </c:layout>
      <c:overlay val="1"/>
    </c:title>
    <c:autoTitleDeleted val="0"/>
    <c:plotArea>
      <c:layout>
        <c:manualLayout>
          <c:layoutTarget val="inner"/>
          <c:xMode val="edge"/>
          <c:yMode val="edge"/>
          <c:x val="8.9250421508290143E-2"/>
          <c:y val="0.10108798707853826"/>
          <c:w val="0.87429977083632382"/>
          <c:h val="0.80337411669695136"/>
        </c:manualLayout>
      </c:layout>
      <c:scatterChart>
        <c:scatterStyle val="lineMarker"/>
        <c:varyColors val="0"/>
        <c:ser>
          <c:idx val="0"/>
          <c:order val="0"/>
          <c:tx>
            <c:strRef>
              <c:f>'Mapa de riesgo'!$Q$34</c:f>
              <c:strCache>
                <c:ptCount val="1"/>
                <c:pt idx="0">
                  <c:v>Ge</c:v>
                </c:pt>
              </c:strCache>
            </c:strRef>
          </c:tx>
          <c:spPr>
            <a:ln w="28575">
              <a:noFill/>
            </a:ln>
          </c:spPr>
          <c:dPt>
            <c:idx val="0"/>
            <c:marker>
              <c:symbol val="circle"/>
              <c:size val="20"/>
            </c:marker>
            <c:bubble3D val="0"/>
            <c:spPr>
              <a:ln>
                <a:solidFill>
                  <a:schemeClr val="accent1"/>
                </a:solidFill>
              </a:ln>
            </c:spPr>
            <c:extLst>
              <c:ext xmlns:c16="http://schemas.microsoft.com/office/drawing/2014/chart" uri="{C3380CC4-5D6E-409C-BE32-E72D297353CC}">
                <c16:uniqueId val="{00000001-1E35-43C4-BFF6-C188BEAE76C5}"/>
              </c:ext>
            </c:extLst>
          </c:dPt>
          <c:dLbls>
            <c:dLbl>
              <c:idx val="0"/>
              <c:spPr/>
              <c:txPr>
                <a:bodyPr/>
                <a:lstStyle/>
                <a:p>
                  <a:pPr>
                    <a:defRPr>
                      <a:solidFill>
                        <a:schemeClr val="bg1"/>
                      </a:solidFill>
                    </a:defRPr>
                  </a:pPr>
                  <a:endParaRPr lang="es-CO"/>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1E35-43C4-BFF6-C188BEAE76C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'RR Consolidado por FR'!$J$13</c:f>
              <c:numCache>
                <c:formatCode>0.00</c:formatCode>
                <c:ptCount val="1"/>
                <c:pt idx="0">
                  <c:v>1</c:v>
                </c:pt>
              </c:numCache>
            </c:numRef>
          </c:xVal>
          <c:yVal>
            <c:numRef>
              <c:f>'RR Consolidado por FR'!$I$13</c:f>
              <c:numCache>
                <c:formatCode>0.00</c:formatCode>
                <c:ptCount val="1"/>
                <c:pt idx="0">
                  <c:v>0.4</c:v>
                </c:pt>
              </c:numCache>
            </c:numRef>
          </c:yVal>
          <c:smooth val="0"/>
          <c:extLst>
            <c:ext xmlns:c16="http://schemas.microsoft.com/office/drawing/2014/chart" uri="{C3380CC4-5D6E-409C-BE32-E72D297353CC}">
              <c16:uniqueId val="{00000000-C6F6-4C23-B438-58EFA5156D82}"/>
            </c:ext>
          </c:extLst>
        </c:ser>
        <c:ser>
          <c:idx val="1"/>
          <c:order val="1"/>
          <c:tx>
            <c:strRef>
              <c:f>'Mapa de riesgo'!$Q$35</c:f>
              <c:strCache>
                <c:ptCount val="1"/>
                <c:pt idx="0">
                  <c:v>Ta</c:v>
                </c:pt>
              </c:strCache>
            </c:strRef>
          </c:tx>
          <c:spPr>
            <a:ln w="28575">
              <a:solidFill>
                <a:schemeClr val="bg2">
                  <a:lumMod val="75000"/>
                </a:schemeClr>
              </a:solidFill>
            </a:ln>
          </c:spPr>
          <c:marker>
            <c:symbol val="circle"/>
            <c:size val="20"/>
            <c:spPr>
              <a:solidFill>
                <a:schemeClr val="bg2">
                  <a:lumMod val="75000"/>
                </a:schemeClr>
              </a:solidFill>
              <a:ln>
                <a:solidFill>
                  <a:schemeClr val="bg2">
                    <a:lumMod val="75000"/>
                  </a:schemeClr>
                </a:solidFill>
              </a:ln>
            </c:spPr>
          </c:marker>
          <c:dLbls>
            <c:spPr>
              <a:noFill/>
              <a:ln>
                <a:noFill/>
              </a:ln>
              <a:effectLst/>
            </c:spPr>
            <c:txPr>
              <a:bodyPr/>
              <a:lstStyle/>
              <a:p>
                <a:pPr>
                  <a:defRPr sz="1050"/>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'RR Consolidado por FR'!$J$10</c:f>
              <c:numCache>
                <c:formatCode>0.00</c:formatCode>
                <c:ptCount val="1"/>
                <c:pt idx="0">
                  <c:v>1</c:v>
                </c:pt>
              </c:numCache>
            </c:numRef>
          </c:xVal>
          <c:yVal>
            <c:numRef>
              <c:f>'RR Consolidado por FR'!$I$10</c:f>
              <c:numCache>
                <c:formatCode>0.00</c:formatCode>
                <c:ptCount val="1"/>
                <c:pt idx="0">
                  <c:v>1</c:v>
                </c:pt>
              </c:numCache>
            </c:numRef>
          </c:yVal>
          <c:smooth val="0"/>
          <c:extLst>
            <c:ext xmlns:c16="http://schemas.microsoft.com/office/drawing/2014/chart" uri="{C3380CC4-5D6E-409C-BE32-E72D297353CC}">
              <c16:uniqueId val="{00000002-C6F6-4C23-B438-58EFA5156D82}"/>
            </c:ext>
          </c:extLst>
        </c:ser>
        <c:ser>
          <c:idx val="2"/>
          <c:order val="2"/>
          <c:tx>
            <c:strRef>
              <c:f>'Mapa de riesgo'!$Q$36</c:f>
              <c:strCache>
                <c:ptCount val="1"/>
                <c:pt idx="0">
                  <c:v>Gt</c:v>
                </c:pt>
              </c:strCache>
            </c:strRef>
          </c:tx>
          <c:spPr>
            <a:ln w="28575">
              <a:noFill/>
            </a:ln>
          </c:spPr>
          <c:marker>
            <c:symbol val="circle"/>
            <c:size val="19"/>
            <c:spPr>
              <a:solidFill>
                <a:schemeClr val="accent2">
                  <a:lumMod val="75000"/>
                </a:schemeClr>
              </a:solidFill>
              <a:ln>
                <a:solidFill>
                  <a:srgbClr val="6F2927"/>
                </a:solidFill>
              </a:ln>
            </c:spPr>
          </c:marker>
          <c:dLbls>
            <c:spPr>
              <a:noFill/>
              <a:ln>
                <a:noFill/>
              </a:ln>
              <a:effectLst/>
            </c:spPr>
            <c:txPr>
              <a:bodyPr/>
              <a:lstStyle/>
              <a:p>
                <a:pPr>
                  <a:defRPr>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FR'!$J$6</c:f>
              <c:numCache>
                <c:formatCode>0.00</c:formatCode>
                <c:ptCount val="1"/>
                <c:pt idx="0">
                  <c:v>2</c:v>
                </c:pt>
              </c:numCache>
            </c:numRef>
          </c:xVal>
          <c:yVal>
            <c:numRef>
              <c:f>'RR Consolidado por FR'!$I$6</c:f>
              <c:numCache>
                <c:formatCode>0.00</c:formatCode>
                <c:ptCount val="1"/>
                <c:pt idx="0">
                  <c:v>2</c:v>
                </c:pt>
              </c:numCache>
            </c:numRef>
          </c:yVal>
          <c:smooth val="0"/>
          <c:extLst>
            <c:ext xmlns:c16="http://schemas.microsoft.com/office/drawing/2014/chart" uri="{C3380CC4-5D6E-409C-BE32-E72D297353CC}">
              <c16:uniqueId val="{00000003-C6F6-4C23-B438-58EFA5156D82}"/>
            </c:ext>
          </c:extLst>
        </c:ser>
        <c:ser>
          <c:idx val="3"/>
          <c:order val="3"/>
          <c:tx>
            <c:strRef>
              <c:f>'Mapa de riesgo'!$Q$37</c:f>
              <c:strCache>
                <c:ptCount val="1"/>
                <c:pt idx="0">
                  <c:v>Ex</c:v>
                </c:pt>
              </c:strCache>
            </c:strRef>
          </c:tx>
          <c:spPr>
            <a:ln w="28575">
              <a:noFill/>
            </a:ln>
          </c:spPr>
          <c:marker>
            <c:symbol val="circle"/>
            <c:size val="20"/>
            <c:spPr>
              <a:solidFill>
                <a:schemeClr val="bg1">
                  <a:lumMod val="65000"/>
                </a:schemeClr>
              </a:solidFill>
            </c:spPr>
          </c:marker>
          <c:dLbls>
            <c:spPr>
              <a:noFill/>
              <a:ln>
                <a:noFill/>
              </a:ln>
              <a:effectLst/>
            </c:spPr>
            <c:txPr>
              <a:bodyPr/>
              <a:lstStyle/>
              <a:p>
                <a:pPr>
                  <a:defRPr sz="9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'RR Consolidado por FR'!$J$11</c:f>
              <c:numCache>
                <c:formatCode>0.00</c:formatCode>
                <c:ptCount val="1"/>
                <c:pt idx="0">
                  <c:v>1</c:v>
                </c:pt>
              </c:numCache>
            </c:numRef>
          </c:xVal>
          <c:yVal>
            <c:numRef>
              <c:f>'RR Consolidado por FR'!$I$11</c:f>
              <c:numCache>
                <c:formatCode>0.00</c:formatCode>
                <c:ptCount val="1"/>
                <c:pt idx="0">
                  <c:v>1</c:v>
                </c:pt>
              </c:numCache>
            </c:numRef>
          </c:yVal>
          <c:smooth val="0"/>
          <c:extLst>
            <c:ext xmlns:c16="http://schemas.microsoft.com/office/drawing/2014/chart" uri="{C3380CC4-5D6E-409C-BE32-E72D297353CC}">
              <c16:uniqueId val="{00000004-C6F6-4C23-B438-58EFA5156D82}"/>
            </c:ext>
          </c:extLst>
        </c:ser>
        <c:ser>
          <c:idx val="4"/>
          <c:order val="4"/>
          <c:tx>
            <c:strRef>
              <c:f>'Mapa de riesgo'!$T$34</c:f>
              <c:strCache>
                <c:ptCount val="1"/>
                <c:pt idx="0">
                  <c:v>Ge</c:v>
                </c:pt>
              </c:strCache>
            </c:strRef>
          </c:tx>
          <c:spPr>
            <a:ln w="28575">
              <a:noFill/>
            </a:ln>
          </c:spPr>
          <c:marker>
            <c:symbol val="circle"/>
            <c:size val="18"/>
            <c:spPr>
              <a:solidFill>
                <a:schemeClr val="bg2">
                  <a:lumMod val="75000"/>
                </a:schemeClr>
              </a:solidFill>
              <a:ln>
                <a:solidFill>
                  <a:schemeClr val="bg2">
                    <a:lumMod val="75000"/>
                  </a:schemeClr>
                </a:solidFill>
              </a:ln>
            </c:spPr>
          </c:marker>
          <c:dPt>
            <c:idx val="0"/>
            <c:bubble3D val="0"/>
            <c:extLst>
              <c:ext xmlns:c16="http://schemas.microsoft.com/office/drawing/2014/chart" uri="{C3380CC4-5D6E-409C-BE32-E72D297353CC}">
                <c16:uniqueId val="{00000002-1E35-43C4-BFF6-C188BEAE76C5}"/>
              </c:ext>
            </c:extLst>
          </c:dPt>
          <c:dLbls>
            <c:spPr>
              <a:noFill/>
              <a:ln>
                <a:noFill/>
              </a:ln>
              <a:effectLst/>
            </c:spPr>
            <c:txPr>
              <a:bodyPr/>
              <a:lstStyle/>
              <a:p>
                <a:pPr>
                  <a:defRPr sz="10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FR'!$J$7</c:f>
              <c:numCache>
                <c:formatCode>0.00</c:formatCode>
                <c:ptCount val="1"/>
                <c:pt idx="0">
                  <c:v>1</c:v>
                </c:pt>
              </c:numCache>
            </c:numRef>
          </c:xVal>
          <c:yVal>
            <c:numRef>
              <c:f>'RR Consolidado por FR'!$I$7</c:f>
              <c:numCache>
                <c:formatCode>0.00</c:formatCode>
                <c:ptCount val="1"/>
                <c:pt idx="0">
                  <c:v>1</c:v>
                </c:pt>
              </c:numCache>
            </c:numRef>
          </c:yVal>
          <c:smooth val="0"/>
          <c:extLst>
            <c:ext xmlns:c16="http://schemas.microsoft.com/office/drawing/2014/chart" uri="{C3380CC4-5D6E-409C-BE32-E72D297353CC}">
              <c16:uniqueId val="{00000005-C6F6-4C23-B438-58EFA5156D82}"/>
            </c:ext>
          </c:extLst>
        </c:ser>
        <c:ser>
          <c:idx val="5"/>
          <c:order val="5"/>
          <c:tx>
            <c:strRef>
              <c:f>'Mapa de riesgo'!$T$35</c:f>
              <c:strCache>
                <c:ptCount val="1"/>
                <c:pt idx="0">
                  <c:v>Ge</c:v>
                </c:pt>
              </c:strCache>
            </c:strRef>
          </c:tx>
          <c:spPr>
            <a:ln w="28575">
              <a:noFill/>
            </a:ln>
          </c:spPr>
          <c:marker>
            <c:symbol val="circle"/>
            <c:size val="18"/>
            <c:spPr>
              <a:solidFill>
                <a:schemeClr val="accent2">
                  <a:lumMod val="75000"/>
                </a:schemeClr>
              </a:solidFill>
              <a:ln>
                <a:solidFill>
                  <a:srgbClr val="6F2927"/>
                </a:solidFill>
              </a:ln>
            </c:spPr>
          </c:marker>
          <c:dLbls>
            <c:spPr>
              <a:noFill/>
              <a:ln>
                <a:noFill/>
              </a:ln>
              <a:effectLst/>
            </c:spPr>
            <c:txPr>
              <a:bodyPr/>
              <a:lstStyle/>
              <a:p>
                <a:pPr>
                  <a:defRPr>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FR'!$J$8</c:f>
              <c:numCache>
                <c:formatCode>0.00</c:formatCode>
                <c:ptCount val="1"/>
                <c:pt idx="0">
                  <c:v>1</c:v>
                </c:pt>
              </c:numCache>
            </c:numRef>
          </c:xVal>
          <c:yVal>
            <c:numRef>
              <c:f>'RR Consolidado por FR'!$I$8</c:f>
              <c:numCache>
                <c:formatCode>0.00</c:formatCode>
                <c:ptCount val="1"/>
                <c:pt idx="0">
                  <c:v>1</c:v>
                </c:pt>
              </c:numCache>
            </c:numRef>
          </c:yVal>
          <c:smooth val="0"/>
          <c:extLst>
            <c:ext xmlns:c16="http://schemas.microsoft.com/office/drawing/2014/chart" uri="{C3380CC4-5D6E-409C-BE32-E72D297353CC}">
              <c16:uniqueId val="{00000006-C6F6-4C23-B438-58EFA5156D82}"/>
            </c:ext>
          </c:extLst>
        </c:ser>
        <c:ser>
          <c:idx val="6"/>
          <c:order val="6"/>
          <c:tx>
            <c:strRef>
              <c:f>'Mapa de riesgo'!$T$36</c:f>
              <c:strCache>
                <c:ptCount val="1"/>
                <c:pt idx="0">
                  <c:v>Su</c:v>
                </c:pt>
              </c:strCache>
            </c:strRef>
          </c:tx>
          <c:spPr>
            <a:ln w="28575">
              <a:noFill/>
            </a:ln>
          </c:spPr>
          <c:marker>
            <c:symbol val="circle"/>
            <c:size val="20"/>
          </c:marker>
          <c:xVal>
            <c:numRef>
              <c:f>'RR Consolidado por FR'!$J$14</c:f>
              <c:numCache>
                <c:formatCode>0.00</c:formatCode>
                <c:ptCount val="1"/>
                <c:pt idx="0">
                  <c:v>3</c:v>
                </c:pt>
              </c:numCache>
            </c:numRef>
          </c:xVal>
          <c:yVal>
            <c:numRef>
              <c:f>'RR Consolidado por FR'!$I$14</c:f>
              <c:numCache>
                <c:formatCode>0.00</c:formatCode>
                <c:ptCount val="1"/>
                <c:pt idx="0">
                  <c:v>2</c:v>
                </c:pt>
              </c:numCache>
            </c:numRef>
          </c:yVal>
          <c:smooth val="0"/>
          <c:extLst>
            <c:ext xmlns:c16="http://schemas.microsoft.com/office/drawing/2014/chart" uri="{C3380CC4-5D6E-409C-BE32-E72D297353CC}">
              <c16:uniqueId val="{00000008-C6F6-4C23-B438-58EFA5156D82}"/>
            </c:ext>
          </c:extLst>
        </c:ser>
        <c:ser>
          <c:idx val="7"/>
          <c:order val="7"/>
          <c:tx>
            <c:strRef>
              <c:f>'Mapa de riesgo'!$T$37</c:f>
              <c:strCache>
                <c:ptCount val="1"/>
                <c:pt idx="0">
                  <c:v>ES</c:v>
                </c:pt>
              </c:strCache>
            </c:strRef>
          </c:tx>
          <c:spPr>
            <a:ln w="28575">
              <a:noFill/>
            </a:ln>
          </c:spPr>
          <c:marker>
            <c:symbol val="circle"/>
            <c:size val="20"/>
          </c:marker>
          <c:dPt>
            <c:idx val="0"/>
            <c:marker>
              <c:symbol val="circle"/>
              <c:size val="18"/>
              <c:spPr>
                <a:ln>
                  <a:solidFill>
                    <a:srgbClr val="7030A0"/>
                  </a:solidFill>
                </a:ln>
              </c:spPr>
            </c:marker>
            <c:bubble3D val="0"/>
            <c:extLst>
              <c:ext xmlns:c16="http://schemas.microsoft.com/office/drawing/2014/chart" uri="{C3380CC4-5D6E-409C-BE32-E72D297353CC}">
                <c16:uniqueId val="{0000000A-C6F6-4C23-B438-58EFA5156D82}"/>
              </c:ext>
            </c:extLst>
          </c:dPt>
          <c:dLbls>
            <c:dLbl>
              <c:idx val="0"/>
              <c:spPr/>
              <c:txPr>
                <a:bodyPr/>
                <a:lstStyle/>
                <a:p>
                  <a:pPr>
                    <a:defRPr sz="1000" b="1">
                      <a:solidFill>
                        <a:schemeClr val="bg1"/>
                      </a:solidFill>
                    </a:defRPr>
                  </a:pPr>
                  <a:endParaRPr lang="es-CO"/>
                </a:p>
              </c:txPr>
              <c:dLblPos val="ctr"/>
              <c:showLegendKey val="0"/>
              <c:showVal val="0"/>
              <c:showCatName val="0"/>
              <c:showSerName val="1"/>
              <c:showPercent val="0"/>
              <c:showBubbleSize val="0"/>
              <c:extLst>
                <c:ext xmlns:c16="http://schemas.microsoft.com/office/drawing/2014/chart" uri="{C3380CC4-5D6E-409C-BE32-E72D297353CC}">
                  <c16:uniqueId val="{0000000A-C6F6-4C23-B438-58EFA5156D82}"/>
                </c:ext>
              </c:extLst>
            </c:dLbl>
            <c:spPr>
              <a:noFill/>
              <a:ln>
                <a:noFill/>
              </a:ln>
              <a:effectLst/>
            </c:spPr>
            <c:txPr>
              <a:bodyPr/>
              <a:lstStyle/>
              <a:p>
                <a:pPr>
                  <a:defRPr b="1"/>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FR'!$J$12</c:f>
              <c:numCache>
                <c:formatCode>0.00</c:formatCode>
                <c:ptCount val="1"/>
                <c:pt idx="0">
                  <c:v>2</c:v>
                </c:pt>
              </c:numCache>
            </c:numRef>
          </c:xVal>
          <c:yVal>
            <c:numRef>
              <c:f>'RR Consolidado por FR'!$I$12</c:f>
              <c:numCache>
                <c:formatCode>0.00</c:formatCode>
                <c:ptCount val="1"/>
                <c:pt idx="0">
                  <c:v>3</c:v>
                </c:pt>
              </c:numCache>
            </c:numRef>
          </c:yVal>
          <c:smooth val="0"/>
          <c:extLst>
            <c:ext xmlns:c16="http://schemas.microsoft.com/office/drawing/2014/chart" uri="{C3380CC4-5D6E-409C-BE32-E72D297353CC}">
              <c16:uniqueId val="{0000000B-C6F6-4C23-B438-58EFA5156D82}"/>
            </c:ext>
          </c:extLst>
        </c:ser>
        <c:ser>
          <c:idx val="8"/>
          <c:order val="8"/>
          <c:tx>
            <c:strRef>
              <c:f>'Mapa de riesgo'!$Y$34</c:f>
              <c:strCache>
                <c:ptCount val="1"/>
                <c:pt idx="0">
                  <c:v>Ct</c:v>
                </c:pt>
              </c:strCache>
            </c:strRef>
          </c:tx>
          <c:spPr>
            <a:ln w="28575">
              <a:noFill/>
            </a:ln>
          </c:spPr>
          <c:marker>
            <c:symbol val="circle"/>
            <c:size val="18"/>
            <c:spPr>
              <a:ln>
                <a:solidFill>
                  <a:srgbClr val="7030A0"/>
                </a:solidFill>
              </a:ln>
            </c:spPr>
          </c:marker>
          <c:dLbls>
            <c:spPr>
              <a:noFill/>
              <a:ln>
                <a:noFill/>
              </a:ln>
              <a:effectLst/>
            </c:spPr>
            <c:txPr>
              <a:bodyPr/>
              <a:lstStyle/>
              <a:p>
                <a:pPr>
                  <a:defRPr>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'RR Consolidado por FR'!$J$9</c:f>
              <c:numCache>
                <c:formatCode>0.00</c:formatCode>
                <c:ptCount val="1"/>
                <c:pt idx="0">
                  <c:v>3</c:v>
                </c:pt>
              </c:numCache>
            </c:numRef>
          </c:xVal>
          <c:yVal>
            <c:numRef>
              <c:f>'RR Consolidado por FR'!$I$9</c:f>
              <c:numCache>
                <c:formatCode>0.00</c:formatCode>
                <c:ptCount val="1"/>
                <c:pt idx="0">
                  <c:v>2</c:v>
                </c:pt>
              </c:numCache>
            </c:numRef>
          </c:yVal>
          <c:smooth val="0"/>
          <c:extLst>
            <c:ext xmlns:c16="http://schemas.microsoft.com/office/drawing/2014/chart" uri="{C3380CC4-5D6E-409C-BE32-E72D297353CC}">
              <c16:uniqueId val="{00000004-D869-46E7-8A95-1BFCC8B0653F}"/>
            </c:ext>
          </c:extLst>
        </c:ser>
        <c:dLbls>
          <c:showLegendKey val="0"/>
          <c:showVal val="0"/>
          <c:showCatName val="0"/>
          <c:showSerName val="0"/>
          <c:showPercent val="0"/>
          <c:showBubbleSize val="0"/>
        </c:dLbls>
        <c:axId val="1341442416"/>
        <c:axId val="1341427728"/>
      </c:scatterChart>
      <c:valAx>
        <c:axId val="1341442416"/>
        <c:scaling>
          <c:orientation val="minMax"/>
          <c:max val="5.5"/>
          <c:min val="0.5"/>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overlay val="0"/>
        </c:title>
        <c:numFmt formatCode="0.00" sourceLinked="1"/>
        <c:majorTickMark val="none"/>
        <c:minorTickMark val="none"/>
        <c:tickLblPos val="nextTo"/>
        <c:txPr>
          <a:bodyPr/>
          <a:lstStyle/>
          <a:p>
            <a:pPr>
              <a:defRPr>
                <a:solidFill>
                  <a:schemeClr val="bg1"/>
                </a:solidFill>
              </a:defRPr>
            </a:pPr>
            <a:endParaRPr lang="es-CO"/>
          </a:p>
        </c:txPr>
        <c:crossAx val="1341427728"/>
        <c:crosses val="autoZero"/>
        <c:crossBetween val="midCat"/>
        <c:majorUnit val="0.5"/>
      </c:valAx>
      <c:valAx>
        <c:axId val="1341427728"/>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overlay val="0"/>
        </c:title>
        <c:numFmt formatCode="0.00" sourceLinked="1"/>
        <c:majorTickMark val="none"/>
        <c:minorTickMark val="none"/>
        <c:tickLblPos val="nextTo"/>
        <c:txPr>
          <a:bodyPr/>
          <a:lstStyle/>
          <a:p>
            <a:pPr>
              <a:defRPr>
                <a:solidFill>
                  <a:schemeClr val="bg1"/>
                </a:solidFill>
              </a:defRPr>
            </a:pPr>
            <a:endParaRPr lang="es-CO"/>
          </a:p>
        </c:txPr>
        <c:crossAx val="1341442416"/>
        <c:crosses val="autoZero"/>
        <c:crossBetween val="midCat"/>
        <c:majorUnit val="0.5"/>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rgbClr val="ED3338"/>
                </a:solidFill>
                <a:latin typeface="+mn-lt"/>
                <a:ea typeface="+mn-ea"/>
                <a:cs typeface="+mn-cs"/>
              </a:defRPr>
            </a:pPr>
            <a:r>
              <a:rPr lang="en-US" sz="1800" b="1">
                <a:solidFill>
                  <a:srgbClr val="ED3338"/>
                </a:solidFill>
              </a:rPr>
              <a:t>Promedio</a:t>
            </a:r>
            <a:r>
              <a:rPr lang="en-US" sz="1800" b="1" baseline="0">
                <a:solidFill>
                  <a:srgbClr val="ED3338"/>
                </a:solidFill>
              </a:rPr>
              <a:t> </a:t>
            </a:r>
            <a:r>
              <a:rPr lang="en-US" sz="1800" b="1">
                <a:solidFill>
                  <a:srgbClr val="ED3338"/>
                </a:solidFill>
              </a:rPr>
              <a:t>Riesgos asociados (inherentes)</a:t>
            </a:r>
          </a:p>
        </c:rich>
      </c:tx>
      <c:overlay val="0"/>
      <c:spPr>
        <a:noFill/>
        <a:ln>
          <a:noFill/>
        </a:ln>
        <a:effectLst/>
      </c:spPr>
      <c:txPr>
        <a:bodyPr rot="0" spcFirstLastPara="1" vertOverflow="ellipsis" vert="horz" wrap="square" anchor="ctr" anchorCtr="1"/>
        <a:lstStyle/>
        <a:p>
          <a:pPr>
            <a:defRPr sz="1800" b="1" i="0" u="none" strike="noStrike" kern="1200" spc="0" baseline="0">
              <a:solidFill>
                <a:srgbClr val="ED3338"/>
              </a:solidFill>
              <a:latin typeface="+mn-lt"/>
              <a:ea typeface="+mn-ea"/>
              <a:cs typeface="+mn-cs"/>
            </a:defRPr>
          </a:pPr>
          <a:endParaRPr lang="es-CO"/>
        </a:p>
      </c:txPr>
    </c:title>
    <c:autoTitleDeleted val="0"/>
    <c:plotArea>
      <c:layout/>
      <c:barChart>
        <c:barDir val="col"/>
        <c:grouping val="clustered"/>
        <c:varyColors val="0"/>
        <c:ser>
          <c:idx val="0"/>
          <c:order val="0"/>
          <c:tx>
            <c:strRef>
              <c:f>'RI Consolidado por FR'!$M$5</c:f>
              <c:strCache>
                <c:ptCount val="1"/>
                <c:pt idx="0">
                  <c:v>Promedio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'RI Consolidado por FR'!$L$6:$L$9</c:f>
              <c:strCache>
                <c:ptCount val="4"/>
                <c:pt idx="0">
                  <c:v>Riesgo de Contagio</c:v>
                </c:pt>
                <c:pt idx="1">
                  <c:v>Riesgo Legal</c:v>
                </c:pt>
                <c:pt idx="2">
                  <c:v>Riesgo Reputacional</c:v>
                </c:pt>
                <c:pt idx="3">
                  <c:v>Riesgo Operativo</c:v>
                </c:pt>
              </c:strCache>
            </c:strRef>
          </c:cat>
          <c:val>
            <c:numRef>
              <c:f>'RI Consolidado por FR'!$M$6:$M$9</c:f>
              <c:numCache>
                <c:formatCode>0.00</c:formatCode>
                <c:ptCount val="4"/>
                <c:pt idx="0">
                  <c:v>3.6923076923076925</c:v>
                </c:pt>
                <c:pt idx="1">
                  <c:v>4.6923076923076925</c:v>
                </c:pt>
                <c:pt idx="2">
                  <c:v>4.8461538461538458</c:v>
                </c:pt>
                <c:pt idx="3">
                  <c:v>4</c:v>
                </c:pt>
              </c:numCache>
            </c:numRef>
          </c:val>
          <c:extLst>
            <c:ext xmlns:c16="http://schemas.microsoft.com/office/drawing/2014/chart" uri="{C3380CC4-5D6E-409C-BE32-E72D297353CC}">
              <c16:uniqueId val="{00000000-97C2-439F-A022-F83F197A5B08}"/>
            </c:ext>
          </c:extLst>
        </c:ser>
        <c:dLbls>
          <c:dLblPos val="outEnd"/>
          <c:showLegendKey val="0"/>
          <c:showVal val="1"/>
          <c:showCatName val="0"/>
          <c:showSerName val="0"/>
          <c:showPercent val="0"/>
          <c:showBubbleSize val="0"/>
        </c:dLbls>
        <c:gapWidth val="219"/>
        <c:overlap val="-27"/>
        <c:axId val="42694880"/>
        <c:axId val="42693632"/>
      </c:barChart>
      <c:catAx>
        <c:axId val="4269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42693632"/>
        <c:crosses val="autoZero"/>
        <c:auto val="1"/>
        <c:lblAlgn val="ctr"/>
        <c:lblOffset val="100"/>
        <c:noMultiLvlLbl val="0"/>
      </c:catAx>
      <c:valAx>
        <c:axId val="42693632"/>
        <c:scaling>
          <c:orientation val="minMax"/>
          <c:max val="5"/>
          <c:min val="1"/>
        </c:scaling>
        <c:delete val="0"/>
        <c:axPos val="l"/>
        <c:majorGridlines>
          <c:spPr>
            <a:ln w="9525" cap="flat" cmpd="sng" algn="ctr">
              <a:no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42694880"/>
        <c:crosses val="autoZero"/>
        <c:crossBetween val="between"/>
        <c:majorUnit val="1"/>
      </c:valAx>
      <c:spPr>
        <a:blipFill>
          <a:blip xmlns:r="http://schemas.openxmlformats.org/officeDocument/2006/relationships" r:embed="rId3"/>
          <a:stretch>
            <a:fillRect/>
          </a:stretch>
        </a:blip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a:gsLst>
        <a:gs pos="0">
          <a:schemeClr val="bg1"/>
        </a:gs>
        <a:gs pos="100000">
          <a:schemeClr val="accent1">
            <a:lumMod val="30000"/>
            <a:lumOff val="70000"/>
          </a:schemeClr>
        </a:gs>
      </a:gsLst>
      <a:lin ang="5400000" scaled="1"/>
    </a:grad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rgbClr val="ED3338"/>
                </a:solidFill>
                <a:latin typeface="+mn-lt"/>
                <a:ea typeface="+mn-ea"/>
                <a:cs typeface="+mn-cs"/>
              </a:defRPr>
            </a:pPr>
            <a:r>
              <a:rPr lang="es-CO" sz="1800" b="1">
                <a:solidFill>
                  <a:srgbClr val="ED3338"/>
                </a:solidFill>
              </a:rPr>
              <a:t>Promedio Riesgos asociados (Residual)</a:t>
            </a:r>
          </a:p>
        </c:rich>
      </c:tx>
      <c:overlay val="0"/>
      <c:spPr>
        <a:noFill/>
        <a:ln>
          <a:noFill/>
        </a:ln>
        <a:effectLst/>
      </c:spPr>
      <c:txPr>
        <a:bodyPr rot="0" spcFirstLastPara="1" vertOverflow="ellipsis" vert="horz" wrap="square" anchor="ctr" anchorCtr="1"/>
        <a:lstStyle/>
        <a:p>
          <a:pPr>
            <a:defRPr sz="1800" b="1" i="0" u="none" strike="noStrike" kern="1200" spc="0" baseline="0">
              <a:solidFill>
                <a:srgbClr val="ED3338"/>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'RR Consolidado por FR'!$L$6:$L$9</c:f>
              <c:strCache>
                <c:ptCount val="4"/>
                <c:pt idx="0">
                  <c:v>Riesgo de Contagio</c:v>
                </c:pt>
                <c:pt idx="1">
                  <c:v>Riesgo Legal</c:v>
                </c:pt>
                <c:pt idx="2">
                  <c:v>Riesgo Reputacional</c:v>
                </c:pt>
                <c:pt idx="3">
                  <c:v>Riesgo Operativo</c:v>
                </c:pt>
              </c:strCache>
            </c:strRef>
          </c:cat>
          <c:val>
            <c:numRef>
              <c:f>'RR Consolidado por FR'!$M$6:$M$9</c:f>
              <c:numCache>
                <c:formatCode>0.00</c:formatCode>
                <c:ptCount val="4"/>
                <c:pt idx="0">
                  <c:v>1.4307692307692308</c:v>
                </c:pt>
                <c:pt idx="1">
                  <c:v>1.5615384615384615</c:v>
                </c:pt>
                <c:pt idx="2">
                  <c:v>1.6615384615384616</c:v>
                </c:pt>
                <c:pt idx="3">
                  <c:v>1.3538461538461539</c:v>
                </c:pt>
              </c:numCache>
            </c:numRef>
          </c:val>
          <c:extLst>
            <c:ext xmlns:c16="http://schemas.microsoft.com/office/drawing/2014/chart" uri="{C3380CC4-5D6E-409C-BE32-E72D297353CC}">
              <c16:uniqueId val="{00000000-0055-49CC-92B1-140659ADED5E}"/>
            </c:ext>
          </c:extLst>
        </c:ser>
        <c:dLbls>
          <c:dLblPos val="outEnd"/>
          <c:showLegendKey val="0"/>
          <c:showVal val="1"/>
          <c:showCatName val="0"/>
          <c:showSerName val="0"/>
          <c:showPercent val="0"/>
          <c:showBubbleSize val="0"/>
        </c:dLbls>
        <c:gapWidth val="219"/>
        <c:overlap val="-27"/>
        <c:axId val="1399514047"/>
        <c:axId val="1399517791"/>
      </c:barChart>
      <c:catAx>
        <c:axId val="1399514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1399517791"/>
        <c:crosses val="autoZero"/>
        <c:auto val="1"/>
        <c:lblAlgn val="ctr"/>
        <c:lblOffset val="100"/>
        <c:noMultiLvlLbl val="0"/>
      </c:catAx>
      <c:valAx>
        <c:axId val="1399517791"/>
        <c:scaling>
          <c:orientation val="minMax"/>
          <c:max val="5"/>
          <c:min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1399514047"/>
        <c:crosses val="autoZero"/>
        <c:crossBetween val="between"/>
        <c:majorUnit val="1"/>
      </c:valAx>
      <c:spPr>
        <a:blipFill>
          <a:blip xmlns:r="http://schemas.openxmlformats.org/officeDocument/2006/relationships" r:embed="rId3"/>
          <a:stretch>
            <a:fillRect/>
          </a:stretch>
        </a:blip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a:gsLst>
        <a:gs pos="0">
          <a:schemeClr val="bg1"/>
        </a:gs>
        <a:gs pos="100000">
          <a:schemeClr val="accent1">
            <a:lumMod val="30000"/>
            <a:lumOff val="70000"/>
          </a:schemeClr>
        </a:gs>
      </a:gsLst>
      <a:lin ang="5400000" scaled="1"/>
    </a:grad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s1!A1"/><Relationship Id="rId1" Type="http://schemas.openxmlformats.org/officeDocument/2006/relationships/hyperlink" Target="#Puntuaciones!A1"/></Relationships>
</file>

<file path=xl/drawings/_rels/drawing10.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494971</xdr:colOff>
      <xdr:row>0</xdr:row>
      <xdr:rowOff>160086</xdr:rowOff>
    </xdr:from>
    <xdr:to>
      <xdr:col>4</xdr:col>
      <xdr:colOff>2790265</xdr:colOff>
      <xdr:row>3</xdr:row>
      <xdr:rowOff>324972</xdr:rowOff>
    </xdr:to>
    <xdr:sp macro="" textlink="">
      <xdr:nvSpPr>
        <xdr:cNvPr id="2" name="37 Rectángulo redondeado">
          <a:extLst>
            <a:ext uri="{FF2B5EF4-FFF2-40B4-BE49-F238E27FC236}">
              <a16:creationId xmlns:a16="http://schemas.microsoft.com/office/drawing/2014/main" id="{00000000-0008-0000-0100-000002000000}"/>
            </a:ext>
          </a:extLst>
        </xdr:cNvPr>
        <xdr:cNvSpPr/>
      </xdr:nvSpPr>
      <xdr:spPr>
        <a:xfrm>
          <a:off x="2952421" y="160086"/>
          <a:ext cx="3114444" cy="707811"/>
        </a:xfrm>
        <a:prstGeom prst="roundRect">
          <a:avLst/>
        </a:prstGeom>
        <a:solidFill>
          <a:srgbClr val="ED3338"/>
        </a:solidFill>
        <a:ln w="19050">
          <a:solidFill>
            <a:schemeClr val="tx2">
              <a:lumMod val="50000"/>
            </a:schemeClr>
          </a:solidFill>
        </a:ln>
        <a:effectLst>
          <a:innerShdw blurRad="63500" dist="50800" dir="16200000">
            <a:prstClr val="black">
              <a:alpha val="50000"/>
            </a:prstClr>
          </a:innerShdw>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Candara" panose="020E0502030303020204" pitchFamily="34" charset="0"/>
            </a:rPr>
            <a:t>CONTENIDO</a:t>
          </a:r>
        </a:p>
      </xdr:txBody>
    </xdr:sp>
    <xdr:clientData/>
  </xdr:twoCellAnchor>
  <xdr:twoCellAnchor>
    <xdr:from>
      <xdr:col>2</xdr:col>
      <xdr:colOff>753833</xdr:colOff>
      <xdr:row>5</xdr:row>
      <xdr:rowOff>123265</xdr:rowOff>
    </xdr:from>
    <xdr:to>
      <xdr:col>4</xdr:col>
      <xdr:colOff>1022181</xdr:colOff>
      <xdr:row>10</xdr:row>
      <xdr:rowOff>69637</xdr:rowOff>
    </xdr:to>
    <xdr:sp macro="[0]!Macro1" textlink="">
      <xdr:nvSpPr>
        <xdr:cNvPr id="3" name="38 Rectángulo redondeado">
          <a:extLst>
            <a:ext uri="{FF2B5EF4-FFF2-40B4-BE49-F238E27FC236}">
              <a16:creationId xmlns:a16="http://schemas.microsoft.com/office/drawing/2014/main" id="{00000000-0008-0000-0100-000003000000}"/>
            </a:ext>
          </a:extLst>
        </xdr:cNvPr>
        <xdr:cNvSpPr/>
      </xdr:nvSpPr>
      <xdr:spPr>
        <a:xfrm>
          <a:off x="2392133" y="2113990"/>
          <a:ext cx="1906648" cy="851247"/>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Riesgo</a:t>
          </a:r>
          <a:r>
            <a:rPr lang="es-CO" sz="1400" baseline="0">
              <a:solidFill>
                <a:schemeClr val="bg1"/>
              </a:solidFill>
              <a:latin typeface="Candara" panose="020E0502030303020204" pitchFamily="34" charset="0"/>
            </a:rPr>
            <a:t> inherente</a:t>
          </a:r>
          <a:endParaRPr lang="es-CO" sz="1400">
            <a:solidFill>
              <a:schemeClr val="bg1"/>
            </a:solidFill>
            <a:latin typeface="Candara" panose="020E0502030303020204" pitchFamily="34" charset="0"/>
          </a:endParaRPr>
        </a:p>
      </xdr:txBody>
    </xdr:sp>
    <xdr:clientData/>
  </xdr:twoCellAnchor>
  <xdr:twoCellAnchor>
    <xdr:from>
      <xdr:col>2</xdr:col>
      <xdr:colOff>768803</xdr:colOff>
      <xdr:row>12</xdr:row>
      <xdr:rowOff>10696</xdr:rowOff>
    </xdr:from>
    <xdr:to>
      <xdr:col>4</xdr:col>
      <xdr:colOff>1037152</xdr:colOff>
      <xdr:row>16</xdr:row>
      <xdr:rowOff>118385</xdr:rowOff>
    </xdr:to>
    <xdr:sp macro="[0]!Macro3" textlink="">
      <xdr:nvSpPr>
        <xdr:cNvPr id="4" name="39 Rectángulo redondeado">
          <a:extLst>
            <a:ext uri="{FF2B5EF4-FFF2-40B4-BE49-F238E27FC236}">
              <a16:creationId xmlns:a16="http://schemas.microsoft.com/office/drawing/2014/main" id="{00000000-0008-0000-0100-000004000000}"/>
            </a:ext>
          </a:extLst>
        </xdr:cNvPr>
        <xdr:cNvSpPr/>
      </xdr:nvSpPr>
      <xdr:spPr>
        <a:xfrm>
          <a:off x="2407103" y="3268246"/>
          <a:ext cx="1906649" cy="831589"/>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Controles</a:t>
          </a:r>
        </a:p>
      </xdr:txBody>
    </xdr:sp>
    <xdr:clientData/>
  </xdr:twoCellAnchor>
  <xdr:twoCellAnchor>
    <xdr:from>
      <xdr:col>4</xdr:col>
      <xdr:colOff>1426669</xdr:colOff>
      <xdr:row>11</xdr:row>
      <xdr:rowOff>172371</xdr:rowOff>
    </xdr:from>
    <xdr:to>
      <xdr:col>4</xdr:col>
      <xdr:colOff>3327874</xdr:colOff>
      <xdr:row>16</xdr:row>
      <xdr:rowOff>116640</xdr:rowOff>
    </xdr:to>
    <xdr:sp macro="[0]!Macro4" textlink="">
      <xdr:nvSpPr>
        <xdr:cNvPr id="5" name="40 Rectángulo redondeado">
          <a:extLst>
            <a:ext uri="{FF2B5EF4-FFF2-40B4-BE49-F238E27FC236}">
              <a16:creationId xmlns:a16="http://schemas.microsoft.com/office/drawing/2014/main" id="{00000000-0008-0000-0100-000005000000}"/>
            </a:ext>
          </a:extLst>
        </xdr:cNvPr>
        <xdr:cNvSpPr/>
      </xdr:nvSpPr>
      <xdr:spPr>
        <a:xfrm>
          <a:off x="4703269" y="3248946"/>
          <a:ext cx="1901205" cy="849144"/>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Riesgo</a:t>
          </a:r>
          <a:r>
            <a:rPr lang="es-CO" sz="1400" baseline="0">
              <a:solidFill>
                <a:schemeClr val="bg1"/>
              </a:solidFill>
              <a:latin typeface="Candara" panose="020E0502030303020204" pitchFamily="34" charset="0"/>
            </a:rPr>
            <a:t> residual</a:t>
          </a:r>
          <a:endParaRPr lang="es-CO" sz="1400">
            <a:solidFill>
              <a:schemeClr val="bg1"/>
            </a:solidFill>
            <a:latin typeface="Candara" panose="020E0502030303020204" pitchFamily="34" charset="0"/>
          </a:endParaRPr>
        </a:p>
      </xdr:txBody>
    </xdr:sp>
    <xdr:clientData/>
  </xdr:twoCellAnchor>
  <xdr:twoCellAnchor>
    <xdr:from>
      <xdr:col>4</xdr:col>
      <xdr:colOff>1425069</xdr:colOff>
      <xdr:row>18</xdr:row>
      <xdr:rowOff>130186</xdr:rowOff>
    </xdr:from>
    <xdr:to>
      <xdr:col>4</xdr:col>
      <xdr:colOff>3326274</xdr:colOff>
      <xdr:row>23</xdr:row>
      <xdr:rowOff>74456</xdr:rowOff>
    </xdr:to>
    <xdr:sp macro="[0]!Módulo1.Macro6" textlink="">
      <xdr:nvSpPr>
        <xdr:cNvPr id="6" name="41 Rectángulo redondeado">
          <a:extLst>
            <a:ext uri="{FF2B5EF4-FFF2-40B4-BE49-F238E27FC236}">
              <a16:creationId xmlns:a16="http://schemas.microsoft.com/office/drawing/2014/main" id="{00000000-0008-0000-0100-000006000000}"/>
            </a:ext>
          </a:extLst>
        </xdr:cNvPr>
        <xdr:cNvSpPr/>
      </xdr:nvSpPr>
      <xdr:spPr>
        <a:xfrm>
          <a:off x="4701669" y="4473586"/>
          <a:ext cx="1901205" cy="849145"/>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Mapa de</a:t>
          </a:r>
          <a:r>
            <a:rPr lang="es-CO" sz="1400" baseline="0">
              <a:solidFill>
                <a:schemeClr val="bg1"/>
              </a:solidFill>
              <a:latin typeface="Candara" panose="020E0502030303020204" pitchFamily="34" charset="0"/>
            </a:rPr>
            <a:t> riesgo</a:t>
          </a:r>
          <a:endParaRPr lang="es-CO" sz="1400">
            <a:solidFill>
              <a:schemeClr val="bg1"/>
            </a:solidFill>
            <a:latin typeface="Candara" panose="020E0502030303020204" pitchFamily="34" charset="0"/>
          </a:endParaRPr>
        </a:p>
      </xdr:txBody>
    </xdr:sp>
    <xdr:clientData/>
  </xdr:twoCellAnchor>
  <xdr:twoCellAnchor>
    <xdr:from>
      <xdr:col>2</xdr:col>
      <xdr:colOff>746511</xdr:colOff>
      <xdr:row>18</xdr:row>
      <xdr:rowOff>145675</xdr:rowOff>
    </xdr:from>
    <xdr:to>
      <xdr:col>4</xdr:col>
      <xdr:colOff>1098176</xdr:colOff>
      <xdr:row>23</xdr:row>
      <xdr:rowOff>76833</xdr:rowOff>
    </xdr:to>
    <xdr:sp macro="[0]!Macro5" textlink="">
      <xdr:nvSpPr>
        <xdr:cNvPr id="7" name="6 Rectángulo redondeado">
          <a:extLst>
            <a:ext uri="{FF2B5EF4-FFF2-40B4-BE49-F238E27FC236}">
              <a16:creationId xmlns:a16="http://schemas.microsoft.com/office/drawing/2014/main" id="{00000000-0008-0000-0100-000007000000}"/>
            </a:ext>
          </a:extLst>
        </xdr:cNvPr>
        <xdr:cNvSpPr/>
      </xdr:nvSpPr>
      <xdr:spPr>
        <a:xfrm>
          <a:off x="2384811" y="4489075"/>
          <a:ext cx="1989965" cy="836033"/>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RR Consolidado por</a:t>
          </a:r>
          <a:r>
            <a:rPr lang="es-CO" sz="1400" baseline="0">
              <a:solidFill>
                <a:schemeClr val="bg1"/>
              </a:solidFill>
              <a:latin typeface="Candara" panose="020E0502030303020204" pitchFamily="34" charset="0"/>
            </a:rPr>
            <a:t> FR</a:t>
          </a:r>
          <a:endParaRPr lang="es-CO" sz="1400">
            <a:solidFill>
              <a:schemeClr val="bg1"/>
            </a:solidFill>
            <a:latin typeface="Candara" panose="020E0502030303020204" pitchFamily="34" charset="0"/>
          </a:endParaRPr>
        </a:p>
      </xdr:txBody>
    </xdr:sp>
    <xdr:clientData/>
  </xdr:twoCellAnchor>
  <xdr:twoCellAnchor>
    <xdr:from>
      <xdr:col>4</xdr:col>
      <xdr:colOff>1408338</xdr:colOff>
      <xdr:row>5</xdr:row>
      <xdr:rowOff>134831</xdr:rowOff>
    </xdr:from>
    <xdr:to>
      <xdr:col>4</xdr:col>
      <xdr:colOff>3309543</xdr:colOff>
      <xdr:row>10</xdr:row>
      <xdr:rowOff>79100</xdr:rowOff>
    </xdr:to>
    <xdr:sp macro="[0]!Macro2" textlink="">
      <xdr:nvSpPr>
        <xdr:cNvPr id="8" name="7 Rectángulo redondeado">
          <a:extLst>
            <a:ext uri="{FF2B5EF4-FFF2-40B4-BE49-F238E27FC236}">
              <a16:creationId xmlns:a16="http://schemas.microsoft.com/office/drawing/2014/main" id="{00000000-0008-0000-0100-000008000000}"/>
            </a:ext>
          </a:extLst>
        </xdr:cNvPr>
        <xdr:cNvSpPr/>
      </xdr:nvSpPr>
      <xdr:spPr>
        <a:xfrm>
          <a:off x="4684938" y="2125556"/>
          <a:ext cx="1901205" cy="849144"/>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RI Consolidado por</a:t>
          </a:r>
          <a:r>
            <a:rPr lang="es-CO" sz="1400" baseline="0">
              <a:solidFill>
                <a:schemeClr val="bg1"/>
              </a:solidFill>
              <a:latin typeface="Candara" panose="020E0502030303020204" pitchFamily="34" charset="0"/>
            </a:rPr>
            <a:t> FR</a:t>
          </a:r>
          <a:endParaRPr lang="es-CO" sz="1400">
            <a:solidFill>
              <a:schemeClr val="bg1"/>
            </a:solidFill>
            <a:latin typeface="Candara" panose="020E0502030303020204" pitchFamily="34" charset="0"/>
          </a:endParaRPr>
        </a:p>
      </xdr:txBody>
    </xdr:sp>
    <xdr:clientData/>
  </xdr:twoCellAnchor>
  <xdr:twoCellAnchor>
    <xdr:from>
      <xdr:col>4</xdr:col>
      <xdr:colOff>1381126</xdr:colOff>
      <xdr:row>3</xdr:row>
      <xdr:rowOff>459200</xdr:rowOff>
    </xdr:from>
    <xdr:to>
      <xdr:col>4</xdr:col>
      <xdr:colOff>3282332</xdr:colOff>
      <xdr:row>3</xdr:row>
      <xdr:rowOff>1264354</xdr:rowOff>
    </xdr:to>
    <xdr:sp macro="[0]!Macro1" textlink="">
      <xdr:nvSpPr>
        <xdr:cNvPr id="9" name="38 Rectángulo redondeado">
          <a:hlinkClick xmlns:r="http://schemas.openxmlformats.org/officeDocument/2006/relationships" r:id="rId1"/>
          <a:extLst>
            <a:ext uri="{FF2B5EF4-FFF2-40B4-BE49-F238E27FC236}">
              <a16:creationId xmlns:a16="http://schemas.microsoft.com/office/drawing/2014/main" id="{00000000-0008-0000-0100-000009000000}"/>
            </a:ext>
          </a:extLst>
        </xdr:cNvPr>
        <xdr:cNvSpPr/>
      </xdr:nvSpPr>
      <xdr:spPr>
        <a:xfrm>
          <a:off x="4657726" y="1002125"/>
          <a:ext cx="1901206" cy="805154"/>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Puntuaciones</a:t>
          </a:r>
        </a:p>
      </xdr:txBody>
    </xdr:sp>
    <xdr:clientData/>
  </xdr:twoCellAnchor>
  <xdr:twoCellAnchor>
    <xdr:from>
      <xdr:col>2</xdr:col>
      <xdr:colOff>738868</xdr:colOff>
      <xdr:row>3</xdr:row>
      <xdr:rowOff>450396</xdr:rowOff>
    </xdr:from>
    <xdr:to>
      <xdr:col>4</xdr:col>
      <xdr:colOff>1007217</xdr:colOff>
      <xdr:row>3</xdr:row>
      <xdr:rowOff>1255550</xdr:rowOff>
    </xdr:to>
    <xdr:sp macro="[0]!Macro1" textlink="">
      <xdr:nvSpPr>
        <xdr:cNvPr id="10" name="38 Rectángulo redondeado">
          <a:hlinkClick xmlns:r="http://schemas.openxmlformats.org/officeDocument/2006/relationships" r:id="rId2"/>
          <a:extLst>
            <a:ext uri="{FF2B5EF4-FFF2-40B4-BE49-F238E27FC236}">
              <a16:creationId xmlns:a16="http://schemas.microsoft.com/office/drawing/2014/main" id="{00000000-0008-0000-0100-00000A000000}"/>
            </a:ext>
          </a:extLst>
        </xdr:cNvPr>
        <xdr:cNvSpPr/>
      </xdr:nvSpPr>
      <xdr:spPr>
        <a:xfrm>
          <a:off x="2377168" y="993321"/>
          <a:ext cx="1906649" cy="805154"/>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Tablas</a:t>
          </a:r>
        </a:p>
      </xdr:txBody>
    </xdr:sp>
    <xdr:clientData/>
  </xdr:twoCellAnchor>
  <xdr:twoCellAnchor editAs="oneCell">
    <xdr:from>
      <xdr:col>4</xdr:col>
      <xdr:colOff>4531179</xdr:colOff>
      <xdr:row>0</xdr:row>
      <xdr:rowOff>0</xdr:rowOff>
    </xdr:from>
    <xdr:to>
      <xdr:col>4</xdr:col>
      <xdr:colOff>6674757</xdr:colOff>
      <xdr:row>3</xdr:row>
      <xdr:rowOff>1194163</xdr:rowOff>
    </xdr:to>
    <xdr:pic>
      <xdr:nvPicPr>
        <xdr:cNvPr id="11" name="Imagen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07779" y="0"/>
          <a:ext cx="2143578" cy="17370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511629</xdr:colOff>
      <xdr:row>5</xdr:row>
      <xdr:rowOff>43543</xdr:rowOff>
    </xdr:from>
    <xdr:to>
      <xdr:col>7</xdr:col>
      <xdr:colOff>375558</xdr:colOff>
      <xdr:row>28</xdr:row>
      <xdr:rowOff>121103</xdr:rowOff>
    </xdr:to>
    <xdr:graphicFrame macro="">
      <xdr:nvGraphicFramePr>
        <xdr:cNvPr id="6" name="5 Gráfico">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718458</xdr:colOff>
      <xdr:row>4</xdr:row>
      <xdr:rowOff>77561</xdr:rowOff>
    </xdr:from>
    <xdr:to>
      <xdr:col>16</xdr:col>
      <xdr:colOff>54429</xdr:colOff>
      <xdr:row>29</xdr:row>
      <xdr:rowOff>8164</xdr:rowOff>
    </xdr:to>
    <xdr:graphicFrame macro="">
      <xdr:nvGraphicFramePr>
        <xdr:cNvPr id="7" name="6 Gráfico">
          <a:extLst>
            <a:ext uri="{FF2B5EF4-FFF2-40B4-BE49-F238E27FC236}">
              <a16:creationId xmlns:a16="http://schemas.microsoft.com/office/drawing/2014/main" id="{00000000-0008-0000-0F00-000007000000}"/>
            </a:ext>
            <a:ext uri="{147F2762-F138-4A5C-976F-8EAC2B608ADB}">
              <a16:predDERef xmlns:a16="http://schemas.microsoft.com/office/drawing/2014/main" pre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666752</xdr:colOff>
      <xdr:row>5</xdr:row>
      <xdr:rowOff>68036</xdr:rowOff>
    </xdr:from>
    <xdr:to>
      <xdr:col>23</xdr:col>
      <xdr:colOff>748393</xdr:colOff>
      <xdr:row>28</xdr:row>
      <xdr:rowOff>186418</xdr:rowOff>
    </xdr:to>
    <xdr:graphicFrame macro="">
      <xdr:nvGraphicFramePr>
        <xdr:cNvPr id="9" name="8 Gráfico">
          <a:extLst>
            <a:ext uri="{FF2B5EF4-FFF2-40B4-BE49-F238E27FC236}">
              <a16:creationId xmlns:a16="http://schemas.microsoft.com/office/drawing/2014/main" id="{00000000-0008-0000-0F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484910</xdr:colOff>
      <xdr:row>36</xdr:row>
      <xdr:rowOff>173182</xdr:rowOff>
    </xdr:from>
    <xdr:to>
      <xdr:col>7</xdr:col>
      <xdr:colOff>348839</xdr:colOff>
      <xdr:row>59</xdr:row>
      <xdr:rowOff>112197</xdr:rowOff>
    </xdr:to>
    <xdr:graphicFrame macro="">
      <xdr:nvGraphicFramePr>
        <xdr:cNvPr id="8" name="7 Gráfico">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671166</xdr:colOff>
      <xdr:row>36</xdr:row>
      <xdr:rowOff>155863</xdr:rowOff>
    </xdr:from>
    <xdr:to>
      <xdr:col>15</xdr:col>
      <xdr:colOff>711986</xdr:colOff>
      <xdr:row>59</xdr:row>
      <xdr:rowOff>166997</xdr:rowOff>
    </xdr:to>
    <xdr:graphicFrame macro="">
      <xdr:nvGraphicFramePr>
        <xdr:cNvPr id="10" name="9 Gráfico">
          <a:extLst>
            <a:ext uri="{FF2B5EF4-FFF2-40B4-BE49-F238E27FC236}">
              <a16:creationId xmlns:a16="http://schemas.microsoft.com/office/drawing/2014/main" id="{00000000-0008-0000-0F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0</xdr:colOff>
      <xdr:row>37</xdr:row>
      <xdr:rowOff>0</xdr:rowOff>
    </xdr:from>
    <xdr:to>
      <xdr:col>24</xdr:col>
      <xdr:colOff>54428</xdr:colOff>
      <xdr:row>59</xdr:row>
      <xdr:rowOff>170337</xdr:rowOff>
    </xdr:to>
    <xdr:graphicFrame macro="">
      <xdr:nvGraphicFramePr>
        <xdr:cNvPr id="16" name="10 Gráfico">
          <a:extLst>
            <a:ext uri="{FF2B5EF4-FFF2-40B4-BE49-F238E27FC236}">
              <a16:creationId xmlns:a16="http://schemas.microsoft.com/office/drawing/2014/main" id="{00000000-0008-0000-0F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367393</xdr:colOff>
      <xdr:row>2</xdr:row>
      <xdr:rowOff>40822</xdr:rowOff>
    </xdr:from>
    <xdr:to>
      <xdr:col>2</xdr:col>
      <xdr:colOff>197303</xdr:colOff>
      <xdr:row>3</xdr:row>
      <xdr:rowOff>164647</xdr:rowOff>
    </xdr:to>
    <xdr:sp macro="[0]!Macro7" textlink="">
      <xdr:nvSpPr>
        <xdr:cNvPr id="11" name="1 Pentágono">
          <a:extLst>
            <a:ext uri="{FF2B5EF4-FFF2-40B4-BE49-F238E27FC236}">
              <a16:creationId xmlns:a16="http://schemas.microsoft.com/office/drawing/2014/main" id="{00000000-0008-0000-0F00-00000B000000}"/>
            </a:ext>
          </a:extLst>
        </xdr:cNvPr>
        <xdr:cNvSpPr/>
      </xdr:nvSpPr>
      <xdr:spPr>
        <a:xfrm flipH="1">
          <a:off x="367393" y="449036"/>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xdr:from>
      <xdr:col>26</xdr:col>
      <xdr:colOff>517071</xdr:colOff>
      <xdr:row>4</xdr:row>
      <xdr:rowOff>163287</xdr:rowOff>
    </xdr:from>
    <xdr:to>
      <xdr:col>33</xdr:col>
      <xdr:colOff>748392</xdr:colOff>
      <xdr:row>27</xdr:row>
      <xdr:rowOff>176893</xdr:rowOff>
    </xdr:to>
    <xdr:graphicFrame macro="">
      <xdr:nvGraphicFramePr>
        <xdr:cNvPr id="12" name="Gráfico 11">
          <a:extLst>
            <a:ext uri="{FF2B5EF4-FFF2-40B4-BE49-F238E27FC236}">
              <a16:creationId xmlns:a16="http://schemas.microsoft.com/office/drawing/2014/main" id="{00000000-0008-0000-0F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571499</xdr:colOff>
      <xdr:row>38</xdr:row>
      <xdr:rowOff>40820</xdr:rowOff>
    </xdr:from>
    <xdr:to>
      <xdr:col>34</xdr:col>
      <xdr:colOff>81642</xdr:colOff>
      <xdr:row>60</xdr:row>
      <xdr:rowOff>81641</xdr:rowOff>
    </xdr:to>
    <xdr:graphicFrame macro="">
      <xdr:nvGraphicFramePr>
        <xdr:cNvPr id="13" name="Gráfico 12">
          <a:extLst>
            <a:ext uri="{FF2B5EF4-FFF2-40B4-BE49-F238E27FC236}">
              <a16:creationId xmlns:a16="http://schemas.microsoft.com/office/drawing/2014/main" id="{00000000-0008-0000-0F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272143</xdr:colOff>
      <xdr:row>1</xdr:row>
      <xdr:rowOff>149678</xdr:rowOff>
    </xdr:from>
    <xdr:to>
      <xdr:col>3</xdr:col>
      <xdr:colOff>210911</xdr:colOff>
      <xdr:row>4</xdr:row>
      <xdr:rowOff>59871</xdr:rowOff>
    </xdr:to>
    <xdr:pic>
      <xdr:nvPicPr>
        <xdr:cNvPr id="15" name="Imagen 14">
          <a:extLst>
            <a:ext uri="{FF2B5EF4-FFF2-40B4-BE49-F238E27FC236}">
              <a16:creationId xmlns:a16="http://schemas.microsoft.com/office/drawing/2014/main" id="{00000000-0008-0000-0F00-00000F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823357" y="353785"/>
          <a:ext cx="714375"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142875</xdr:rowOff>
    </xdr:from>
    <xdr:to>
      <xdr:col>1</xdr:col>
      <xdr:colOff>1323974</xdr:colOff>
      <xdr:row>0</xdr:row>
      <xdr:rowOff>457200</xdr:rowOff>
    </xdr:to>
    <xdr:sp macro="[0]!Macro7" textlink="">
      <xdr:nvSpPr>
        <xdr:cNvPr id="2" name="1 Pentágono">
          <a:extLst>
            <a:ext uri="{FF2B5EF4-FFF2-40B4-BE49-F238E27FC236}">
              <a16:creationId xmlns:a16="http://schemas.microsoft.com/office/drawing/2014/main" id="{00000000-0008-0000-0200-000002000000}"/>
            </a:ext>
          </a:extLst>
        </xdr:cNvPr>
        <xdr:cNvSpPr/>
      </xdr:nvSpPr>
      <xdr:spPr>
        <a:xfrm flipH="1">
          <a:off x="161925" y="142875"/>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1</xdr:col>
      <xdr:colOff>1314450</xdr:colOff>
      <xdr:row>0</xdr:row>
      <xdr:rowOff>19050</xdr:rowOff>
    </xdr:from>
    <xdr:to>
      <xdr:col>1</xdr:col>
      <xdr:colOff>2200275</xdr:colOff>
      <xdr:row>0</xdr:row>
      <xdr:rowOff>685799</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3525" y="19050"/>
          <a:ext cx="885825" cy="666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100853</xdr:colOff>
      <xdr:row>0</xdr:row>
      <xdr:rowOff>78441</xdr:rowOff>
    </xdr:from>
    <xdr:to>
      <xdr:col>2</xdr:col>
      <xdr:colOff>484653</xdr:colOff>
      <xdr:row>0</xdr:row>
      <xdr:rowOff>392766</xdr:rowOff>
    </xdr:to>
    <xdr:sp macro="[0]!Macro7" textlink="">
      <xdr:nvSpPr>
        <xdr:cNvPr id="3" name="1 Pentágono">
          <a:extLst>
            <a:ext uri="{FF2B5EF4-FFF2-40B4-BE49-F238E27FC236}">
              <a16:creationId xmlns:a16="http://schemas.microsoft.com/office/drawing/2014/main" id="{00000000-0008-0000-0300-000003000000}"/>
            </a:ext>
          </a:extLst>
        </xdr:cNvPr>
        <xdr:cNvSpPr/>
      </xdr:nvSpPr>
      <xdr:spPr>
        <a:xfrm flipH="1">
          <a:off x="100853" y="78441"/>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2</xdr:col>
      <xdr:colOff>523875</xdr:colOff>
      <xdr:row>0</xdr:row>
      <xdr:rowOff>0</xdr:rowOff>
    </xdr:from>
    <xdr:to>
      <xdr:col>3</xdr:col>
      <xdr:colOff>266700</xdr:colOff>
      <xdr:row>1</xdr:row>
      <xdr:rowOff>161925</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4475" y="0"/>
          <a:ext cx="847725"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0</xdr:row>
      <xdr:rowOff>95250</xdr:rowOff>
    </xdr:from>
    <xdr:to>
      <xdr:col>2</xdr:col>
      <xdr:colOff>1266824</xdr:colOff>
      <xdr:row>1</xdr:row>
      <xdr:rowOff>247650</xdr:rowOff>
    </xdr:to>
    <xdr:sp macro="[0]!Macro7" textlink="">
      <xdr:nvSpPr>
        <xdr:cNvPr id="5" name="1 Pentágono">
          <a:extLst>
            <a:ext uri="{FF2B5EF4-FFF2-40B4-BE49-F238E27FC236}">
              <a16:creationId xmlns:a16="http://schemas.microsoft.com/office/drawing/2014/main" id="{00000000-0008-0000-0900-000005000000}"/>
            </a:ext>
          </a:extLst>
        </xdr:cNvPr>
        <xdr:cNvSpPr/>
      </xdr:nvSpPr>
      <xdr:spPr>
        <a:xfrm flipH="1">
          <a:off x="152400" y="95250"/>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3</xdr:col>
      <xdr:colOff>253093</xdr:colOff>
      <xdr:row>1</xdr:row>
      <xdr:rowOff>114300</xdr:rowOff>
    </xdr:from>
    <xdr:to>
      <xdr:col>3</xdr:col>
      <xdr:colOff>876300</xdr:colOff>
      <xdr:row>1</xdr:row>
      <xdr:rowOff>734785</xdr:rowOff>
    </xdr:to>
    <xdr:pic>
      <xdr:nvPicPr>
        <xdr:cNvPr id="3" name="Imagen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5193" y="285750"/>
          <a:ext cx="623207" cy="6204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0</xdr:row>
      <xdr:rowOff>0</xdr:rowOff>
    </xdr:from>
    <xdr:to>
      <xdr:col>2</xdr:col>
      <xdr:colOff>1266824</xdr:colOff>
      <xdr:row>0</xdr:row>
      <xdr:rowOff>0</xdr:rowOff>
    </xdr:to>
    <xdr:sp macro="[0]!Macro7" textlink="">
      <xdr:nvSpPr>
        <xdr:cNvPr id="2" name="1 Pentágono">
          <a:extLst>
            <a:ext uri="{FF2B5EF4-FFF2-40B4-BE49-F238E27FC236}">
              <a16:creationId xmlns:a16="http://schemas.microsoft.com/office/drawing/2014/main" id="{00000000-0008-0000-0A00-000002000000}"/>
            </a:ext>
          </a:extLst>
        </xdr:cNvPr>
        <xdr:cNvSpPr/>
      </xdr:nvSpPr>
      <xdr:spPr>
        <a:xfrm flipH="1">
          <a:off x="152400" y="95250"/>
          <a:ext cx="220027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209550</xdr:colOff>
      <xdr:row>0</xdr:row>
      <xdr:rowOff>152400</xdr:rowOff>
    </xdr:from>
    <xdr:to>
      <xdr:col>1</xdr:col>
      <xdr:colOff>819149</xdr:colOff>
      <xdr:row>2</xdr:row>
      <xdr:rowOff>85725</xdr:rowOff>
    </xdr:to>
    <xdr:sp macro="[0]!Macro7" textlink="">
      <xdr:nvSpPr>
        <xdr:cNvPr id="3" name="1 Pentágono">
          <a:extLst>
            <a:ext uri="{FF2B5EF4-FFF2-40B4-BE49-F238E27FC236}">
              <a16:creationId xmlns:a16="http://schemas.microsoft.com/office/drawing/2014/main" id="{00000000-0008-0000-0B00-000003000000}"/>
            </a:ext>
          </a:extLst>
        </xdr:cNvPr>
        <xdr:cNvSpPr/>
      </xdr:nvSpPr>
      <xdr:spPr>
        <a:xfrm flipH="1">
          <a:off x="209550" y="152400"/>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1</xdr:col>
      <xdr:colOff>838200</xdr:colOff>
      <xdr:row>0</xdr:row>
      <xdr:rowOff>19050</xdr:rowOff>
    </xdr:from>
    <xdr:to>
      <xdr:col>1</xdr:col>
      <xdr:colOff>1647825</xdr:colOff>
      <xdr:row>3</xdr:row>
      <xdr:rowOff>76200</xdr:rowOff>
    </xdr:to>
    <xdr:pic>
      <xdr:nvPicPr>
        <xdr:cNvPr id="6" name="Imagen 5">
          <a:extLst>
            <a:ext uri="{FF2B5EF4-FFF2-40B4-BE49-F238E27FC236}">
              <a16:creationId xmlns:a16="http://schemas.microsoft.com/office/drawing/2014/main" id="{00000000-0008-0000-0B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19050"/>
          <a:ext cx="809625" cy="628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2</xdr:col>
      <xdr:colOff>276224</xdr:colOff>
      <xdr:row>2</xdr:row>
      <xdr:rowOff>66675</xdr:rowOff>
    </xdr:to>
    <xdr:sp macro="[0]!Macro7" textlink="">
      <xdr:nvSpPr>
        <xdr:cNvPr id="3" name="1 Pentágono">
          <a:extLst>
            <a:ext uri="{FF2B5EF4-FFF2-40B4-BE49-F238E27FC236}">
              <a16:creationId xmlns:a16="http://schemas.microsoft.com/office/drawing/2014/main" id="{00000000-0008-0000-0C00-000003000000}"/>
            </a:ext>
          </a:extLst>
        </xdr:cNvPr>
        <xdr:cNvSpPr/>
      </xdr:nvSpPr>
      <xdr:spPr>
        <a:xfrm flipH="1">
          <a:off x="180975" y="76200"/>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2</xdr:col>
      <xdr:colOff>281608</xdr:colOff>
      <xdr:row>0</xdr:row>
      <xdr:rowOff>0</xdr:rowOff>
    </xdr:from>
    <xdr:to>
      <xdr:col>2</xdr:col>
      <xdr:colOff>1051892</xdr:colOff>
      <xdr:row>4</xdr:row>
      <xdr:rowOff>16565</xdr:rowOff>
    </xdr:to>
    <xdr:pic>
      <xdr:nvPicPr>
        <xdr:cNvPr id="4" name="Imagen 3">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5412" y="0"/>
          <a:ext cx="770284" cy="5797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1120</xdr:colOff>
      <xdr:row>0</xdr:row>
      <xdr:rowOff>145677</xdr:rowOff>
    </xdr:from>
    <xdr:to>
      <xdr:col>2</xdr:col>
      <xdr:colOff>403410</xdr:colOff>
      <xdr:row>2</xdr:row>
      <xdr:rowOff>79002</xdr:rowOff>
    </xdr:to>
    <xdr:sp macro="[0]!Macro7" textlink="">
      <xdr:nvSpPr>
        <xdr:cNvPr id="5" name="1 Pentágono">
          <a:extLst>
            <a:ext uri="{FF2B5EF4-FFF2-40B4-BE49-F238E27FC236}">
              <a16:creationId xmlns:a16="http://schemas.microsoft.com/office/drawing/2014/main" id="{00000000-0008-0000-0D00-000005000000}"/>
            </a:ext>
          </a:extLst>
        </xdr:cNvPr>
        <xdr:cNvSpPr/>
      </xdr:nvSpPr>
      <xdr:spPr>
        <a:xfrm flipH="1">
          <a:off x="146796" y="145677"/>
          <a:ext cx="1153085"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2</xdr:col>
      <xdr:colOff>403411</xdr:colOff>
      <xdr:row>0</xdr:row>
      <xdr:rowOff>0</xdr:rowOff>
    </xdr:from>
    <xdr:to>
      <xdr:col>3</xdr:col>
      <xdr:colOff>224117</xdr:colOff>
      <xdr:row>3</xdr:row>
      <xdr:rowOff>89647</xdr:rowOff>
    </xdr:to>
    <xdr:pic>
      <xdr:nvPicPr>
        <xdr:cNvPr id="3" name="Imagen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9882" y="0"/>
          <a:ext cx="1064559" cy="76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228600</xdr:colOff>
      <xdr:row>0</xdr:row>
      <xdr:rowOff>133350</xdr:rowOff>
    </xdr:from>
    <xdr:to>
      <xdr:col>1</xdr:col>
      <xdr:colOff>1066799</xdr:colOff>
      <xdr:row>2</xdr:row>
      <xdr:rowOff>66675</xdr:rowOff>
    </xdr:to>
    <xdr:sp macro="[0]!Macro7" textlink="">
      <xdr:nvSpPr>
        <xdr:cNvPr id="4" name="1 Pentágono">
          <a:extLst>
            <a:ext uri="{FF2B5EF4-FFF2-40B4-BE49-F238E27FC236}">
              <a16:creationId xmlns:a16="http://schemas.microsoft.com/office/drawing/2014/main" id="{00000000-0008-0000-0E00-000004000000}"/>
            </a:ext>
          </a:extLst>
        </xdr:cNvPr>
        <xdr:cNvSpPr/>
      </xdr:nvSpPr>
      <xdr:spPr>
        <a:xfrm flipH="1">
          <a:off x="228600" y="133350"/>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xdr:from>
      <xdr:col>6</xdr:col>
      <xdr:colOff>744903</xdr:colOff>
      <xdr:row>12</xdr:row>
      <xdr:rowOff>21</xdr:rowOff>
    </xdr:from>
    <xdr:to>
      <xdr:col>10</xdr:col>
      <xdr:colOff>0</xdr:colOff>
      <xdr:row>12</xdr:row>
      <xdr:rowOff>21</xdr:rowOff>
    </xdr:to>
    <xdr:cxnSp macro="">
      <xdr:nvCxnSpPr>
        <xdr:cNvPr id="3" name="Conector recto 2">
          <a:extLst>
            <a:ext uri="{FF2B5EF4-FFF2-40B4-BE49-F238E27FC236}">
              <a16:creationId xmlns:a16="http://schemas.microsoft.com/office/drawing/2014/main" id="{00000000-0008-0000-0E00-000003000000}"/>
            </a:ext>
          </a:extLst>
        </xdr:cNvPr>
        <xdr:cNvCxnSpPr/>
      </xdr:nvCxnSpPr>
      <xdr:spPr>
        <a:xfrm flipH="1">
          <a:off x="20023503" y="2819421"/>
          <a:ext cx="4046172" cy="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1095375</xdr:colOff>
      <xdr:row>0</xdr:row>
      <xdr:rowOff>0</xdr:rowOff>
    </xdr:from>
    <xdr:to>
      <xdr:col>1</xdr:col>
      <xdr:colOff>2038350</xdr:colOff>
      <xdr:row>3</xdr:row>
      <xdr:rowOff>114300</xdr:rowOff>
    </xdr:to>
    <xdr:pic>
      <xdr:nvPicPr>
        <xdr:cNvPr id="5" name="Imagen 4">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300" y="0"/>
          <a:ext cx="942975" cy="685800"/>
        </a:xfrm>
        <a:prstGeom prst="rect">
          <a:avLst/>
        </a:prstGeom>
      </xdr:spPr>
    </xdr:pic>
    <xdr:clientData/>
  </xdr:twoCellAnchor>
</xdr:wsDr>
</file>

<file path=xl/tables/table1.xml><?xml version="1.0" encoding="utf-8"?>
<table xmlns="http://schemas.openxmlformats.org/spreadsheetml/2006/main" id="1" name="Tabla1" displayName="Tabla1" ref="B2:C24" headerRowDxfId="149" dataDxfId="148" headerRowCellStyle="Normal" dataCellStyle="Normal" totalsRowCellStyle="Normal">
  <autoFilter ref="B2:C24"/>
  <tableColumns count="2">
    <tableColumn id="1" name="Procesos/Áreas de Práctica" dataDxfId="147" totalsRowDxfId="146" dataCellStyle="Normal"/>
    <tableColumn id="3" name="Código proceso" totalsRowFunction="custom" dataDxfId="145" totalsRowDxfId="144" dataCellStyle="Normal">
      <totalsRowFormula>" "</totalsRowFormula>
    </tableColumn>
  </tableColumns>
  <tableStyleInfo name="BM" showFirstColumn="0" showLastColumn="0" showRowStripes="1" showColumnStripes="0"/>
</table>
</file>

<file path=xl/tables/table10.xml><?xml version="1.0" encoding="utf-8"?>
<table xmlns="http://schemas.openxmlformats.org/spreadsheetml/2006/main" id="17" name="Tabla17" displayName="Tabla17" ref="A1:H6" totalsRowShown="0">
  <autoFilter ref="A1:H6"/>
  <tableColumns count="8">
    <tableColumn id="1" name="Procesos/Áreas de práctica"/>
    <tableColumn id="2" name="Subproceso"/>
    <tableColumn id="3" name="No. Riesgo"/>
    <tableColumn id="4" name="Código evento"/>
    <tableColumn id="5" name="Factor de riesgo"/>
    <tableColumn id="6" name="Código proceso"/>
    <tableColumn id="7" name="Código riesgo"/>
    <tableColumn id="8" name="Evento de riesgo"/>
  </tableColumns>
  <tableStyleInfo name="TableStyleMedium2" showFirstColumn="0" showLastColumn="0" showRowStripes="1" showColumnStripes="0"/>
</table>
</file>

<file path=xl/tables/table11.xml><?xml version="1.0" encoding="utf-8"?>
<table xmlns="http://schemas.openxmlformats.org/spreadsheetml/2006/main" id="18" name="Tabla18" displayName="Tabla18" ref="A1:H3" totalsRowShown="0">
  <autoFilter ref="A1:H3"/>
  <tableColumns count="8">
    <tableColumn id="1" name="Procesos/Áreas de práctica"/>
    <tableColumn id="2" name="Subproceso"/>
    <tableColumn id="3" name="No. Riesgo"/>
    <tableColumn id="4" name="Código evento"/>
    <tableColumn id="5" name="Factor de riesgo"/>
    <tableColumn id="6" name="Código proceso"/>
    <tableColumn id="7" name="Código riesgo"/>
    <tableColumn id="8" name="Evento de riesgo"/>
  </tableColumns>
  <tableStyleInfo name="TableStyleMedium2" showFirstColumn="0" showLastColumn="0" showRowStripes="1" showColumnStripes="0"/>
</table>
</file>

<file path=xl/tables/table12.xml><?xml version="1.0" encoding="utf-8"?>
<table xmlns="http://schemas.openxmlformats.org/spreadsheetml/2006/main" id="19" name="Tabla19" displayName="Tabla19" ref="A1:H2" totalsRowShown="0">
  <autoFilter ref="A1:H2"/>
  <tableColumns count="8">
    <tableColumn id="1" name="Procesos/Áreas de práctica"/>
    <tableColumn id="2" name="Subproceso"/>
    <tableColumn id="3" name="No. Riesgo"/>
    <tableColumn id="4" name="Código evento"/>
    <tableColumn id="5" name="Factor de riesgo"/>
    <tableColumn id="6" name="Código proceso"/>
    <tableColumn id="7" name="Código riesgo"/>
    <tableColumn id="8" name="Evento de riesgo"/>
  </tableColumns>
  <tableStyleInfo name="TableStyleMedium2" showFirstColumn="0" showLastColumn="0" showRowStripes="1" showColumnStripes="0"/>
</table>
</file>

<file path=xl/tables/table13.xml><?xml version="1.0" encoding="utf-8"?>
<table xmlns="http://schemas.openxmlformats.org/spreadsheetml/2006/main" id="11" name="Tableau11" displayName="Tableau11" ref="B5:F13" totalsRowShown="0" headerRowDxfId="63" dataDxfId="61" headerRowBorderDxfId="62" tableBorderDxfId="60" headerRowCellStyle="Normal">
  <tableColumns count="5">
    <tableColumn id="1" name="FACTOR DE RIESGO" dataDxfId="59" dataCellStyle="Normal"/>
    <tableColumn id="2" name="PROBABILIDAD" dataDxfId="58" dataCellStyle="Normal">
      <calculatedColumnFormula>IFERROR(AVERAGEIF('R I'!$G$7:$G$1048576,Tableau11[[#This Row],[FACTOR DE RIESGO]],'R I'!Q$7:Q$1048576),"")</calculatedColumnFormula>
    </tableColumn>
    <tableColumn id="3" name="CONSECUENCIA" dataDxfId="57" dataCellStyle="Normal">
      <calculatedColumnFormula>IFERROR(AVERAGEIF('R I'!$G$7:$G$1048576,Tableau11[[#This Row],[FACTOR DE RIESGO]],'R I'!AA$7:AA$1048576),"")</calculatedColumnFormula>
    </tableColumn>
    <tableColumn id="4" name="VALORACION" dataDxfId="56" dataCellStyle="Normal">
      <calculatedColumnFormula>IFERROR(ROUND(C6*D6,0),"")</calculatedColumnFormula>
    </tableColumn>
    <tableColumn id="5" name="NIVEL DE RIESGO" dataDxfId="55" dataCellStyle="Normal">
      <calculatedColumnFormula>IF(AND(E6&gt;0,E6&lt;8),"BAJO",IF(AND(E6&gt;=8,E6&lt;14),"MEDIO",IF(AND(E6&gt;=14,E6&lt;20),"ALTO",IF(AND(E6&gt;=20,E6&lt;26),"EXTREMO",""))))</calculatedColumnFormula>
    </tableColumn>
  </tableColumns>
  <tableStyleInfo name="BM" showFirstColumn="0" showLastColumn="0" showRowStripes="1" showColumnStripes="0"/>
</table>
</file>

<file path=xl/tables/table14.xml><?xml version="1.0" encoding="utf-8"?>
<table xmlns="http://schemas.openxmlformats.org/spreadsheetml/2006/main" id="10" name="Tableau10" displayName="Tableau10" ref="H5:J14" totalsRowShown="0" headerRowDxfId="54" headerRowBorderDxfId="53" tableBorderDxfId="52">
  <tableColumns count="3">
    <tableColumn id="1" name="Procesos/Áreas de Práctica" dataDxfId="51"/>
    <tableColumn id="2" name="Probabilidad" dataDxfId="50">
      <calculatedColumnFormula>IFERROR(AVERAGEIF('R I'!$C$7:$C$1048576,Tableau10[[#This Row],[Procesos/Áreas de Práctica]],'R I'!$Q$7:$Q$1048576),0)</calculatedColumnFormula>
    </tableColumn>
    <tableColumn id="3" name="Valoración de la Consecuencia" dataDxfId="49">
      <calculatedColumnFormula>IFERROR(AVERAGEIF('R I'!$C$7:$C$1048576,Tableau10[[#This Row],[Procesos/Áreas de Práctica]],'R I'!$AA$7:$AA$1048576),0)</calculatedColumnFormula>
    </tableColumn>
  </tableColumns>
  <tableStyleInfo name="BM" showFirstColumn="0" showLastColumn="0" showRowStripes="1" showColumnStripes="0"/>
</table>
</file>

<file path=xl/tables/table15.xml><?xml version="1.0" encoding="utf-8"?>
<table xmlns="http://schemas.openxmlformats.org/spreadsheetml/2006/main" id="7" name="Tableau108" displayName="Tableau108" ref="L5:M9" totalsRowShown="0" headerRowDxfId="48" headerRowBorderDxfId="47" tableBorderDxfId="46">
  <tableColumns count="2">
    <tableColumn id="1" name="Riesgos asociados" dataDxfId="45">
      <calculatedColumnFormula>Tablas1!B27</calculatedColumnFormula>
    </tableColumn>
    <tableColumn id="3" name="Promedio" dataDxfId="44">
      <calculatedColumnFormula>IFERROR(AVERAGE('R I'!$W$7:$W$17),0)</calculatedColumnFormula>
    </tableColumn>
  </tableColumns>
  <tableStyleInfo name="BM" showFirstColumn="0" showLastColumn="0" showRowStripes="1" showColumnStripes="0"/>
</table>
</file>

<file path=xl/tables/table16.xml><?xml version="1.0" encoding="utf-8"?>
<table xmlns="http://schemas.openxmlformats.org/spreadsheetml/2006/main" id="12" name="Tableau12" displayName="Tableau12" ref="AC2:AE3" totalsRowShown="0" headerRowDxfId="29">
  <tableColumns count="3">
    <tableColumn id="1" name="Riesgo Residual" dataDxfId="28"/>
    <tableColumn id="2" name="Prob Conse Resid" dataDxfId="27">
      <calculatedColumnFormula>AVERAGE(T9:T1048576)</calculatedColumnFormula>
    </tableColumn>
    <tableColumn id="3" name="Val Conse Resid" dataDxfId="26">
      <calculatedColumnFormula>AVERAGE(U9:U1048576)</calculatedColumnFormula>
    </tableColumn>
  </tableColumns>
  <tableStyleInfo name="BM" showFirstColumn="0" showLastColumn="0" showRowStripes="1" showColumnStripes="0"/>
</table>
</file>

<file path=xl/tables/table17.xml><?xml version="1.0" encoding="utf-8"?>
<table xmlns="http://schemas.openxmlformats.org/spreadsheetml/2006/main" id="15" name="Tableau15" displayName="Tableau15" ref="B5:F13" totalsRowShown="0" headerRowDxfId="21" dataDxfId="20">
  <tableColumns count="5">
    <tableColumn id="1" name="FACTOR DE RIESGO" dataDxfId="19"/>
    <tableColumn id="2" name="PROBABILIDAD" dataDxfId="18">
      <calculatedColumnFormula>IFERROR(AVERAGEIF('R R'!$E$7:$G$1048576,Tableau15[[#This Row],[FACTOR DE RIESGO]],'R R'!T$7:T$1048576),"")</calculatedColumnFormula>
    </tableColumn>
    <tableColumn id="3" name="CONSECUENCIA" dataDxfId="17">
      <calculatedColumnFormula>IFERROR(AVERAGEIF('R R'!$E$7:$G$1048576,Tableau15[[#This Row],[FACTOR DE RIESGO]],'R R'!U$7:U$1048576),"")</calculatedColumnFormula>
    </tableColumn>
    <tableColumn id="4" name="VALORACION" dataDxfId="16">
      <calculatedColumnFormula>IFERROR(ROUND(C6*D6,0),"")</calculatedColumnFormula>
    </tableColumn>
    <tableColumn id="5" name="NIVEL DE RIESGO" dataDxfId="15">
      <calculatedColumnFormula>IF(AND(E6&gt;0,E6&lt;8),"BAJO",IF(AND(E6&gt;=8,E6&lt;14),"MEDIO",IF(AND(E6&gt;=14,E6&lt;20),"ALTO",IF(AND(E6&gt;=20,E6&lt;26),"EXTREMO",""))))</calculatedColumnFormula>
    </tableColumn>
  </tableColumns>
  <tableStyleInfo name="BM" showFirstColumn="0" showLastColumn="0" showRowStripes="1" showColumnStripes="0"/>
</table>
</file>

<file path=xl/tables/table18.xml><?xml version="1.0" encoding="utf-8"?>
<table xmlns="http://schemas.openxmlformats.org/spreadsheetml/2006/main" id="13" name="Tableau13" displayName="Tableau13" ref="H5:J14" totalsRowShown="0" headerRowDxfId="14" dataDxfId="13" tableBorderDxfId="12">
  <autoFilter ref="H5:J14"/>
  <tableColumns count="3">
    <tableColumn id="1" name="Proceso/Área de práctica" dataDxfId="11"/>
    <tableColumn id="2" name="Probabilidad" dataDxfId="10">
      <calculatedColumnFormula>IFERROR(AVERAGEIF('R R'!$C$9:$C$1048576,Tableau13[[#This Row],[Proceso/Área de práctica]],'R R'!$T$9:$T$1048576),0)</calculatedColumnFormula>
    </tableColumn>
    <tableColumn id="3" name="Valoración" dataDxfId="9">
      <calculatedColumnFormula>IFERROR(AVERAGEIF('R R'!$C$9:$C$1048576,Tableau13[[#This Row],[Proceso/Área de práctica]],'R R'!$U$9:$U$1048576),0)</calculatedColumnFormula>
    </tableColumn>
  </tableColumns>
  <tableStyleInfo name="BM" showFirstColumn="0" showLastColumn="0" showRowStripes="1" showColumnStripes="0"/>
</table>
</file>

<file path=xl/tables/table19.xml><?xml version="1.0" encoding="utf-8"?>
<table xmlns="http://schemas.openxmlformats.org/spreadsheetml/2006/main" id="9" name="Tableau10810" displayName="Tableau10810" ref="L5:M9" totalsRowShown="0" headerRowDxfId="8" headerRowBorderDxfId="7" tableBorderDxfId="6">
  <tableColumns count="2">
    <tableColumn id="1" name="Riesgos asociados" dataDxfId="5">
      <calculatedColumnFormula>Tablas1!B27</calculatedColumnFormula>
    </tableColumn>
    <tableColumn id="3" name="Promedio" dataDxfId="4">
      <calculatedColumnFormula>IFERROR(AVERAGE('R R'!$L$9:$L$1048576),0)</calculatedColumnFormula>
    </tableColumn>
  </tableColumns>
  <tableStyleInfo name="BM" showFirstColumn="0" showLastColumn="0" showRowStripes="1" showColumnStripes="0"/>
</table>
</file>

<file path=xl/tables/table2.xml><?xml version="1.0" encoding="utf-8"?>
<table xmlns="http://schemas.openxmlformats.org/spreadsheetml/2006/main" id="3" name="Tableau3" displayName="Tableau3" ref="E2:F14" totalsRowShown="0" headerRowDxfId="143" dataDxfId="142" headerRowCellStyle="Normal" dataCellStyle="Normal">
  <autoFilter ref="E2:F14"/>
  <tableColumns count="2">
    <tableColumn id="1" name="Subproceso" dataDxfId="141" dataCellStyle="Normal"/>
    <tableColumn id="2" name="Código subproceso" dataDxfId="140" dataCellStyle="Normal"/>
  </tableColumns>
  <tableStyleInfo name="BM" showFirstColumn="0" showLastColumn="0" showRowStripes="1" showColumnStripes="0"/>
</table>
</file>

<file path=xl/tables/table3.xml><?xml version="1.0" encoding="utf-8"?>
<table xmlns="http://schemas.openxmlformats.org/spreadsheetml/2006/main" id="5" name="Tableau5" displayName="Tableau5" ref="B26:C30" totalsRowShown="0" headerRowDxfId="139" dataDxfId="138">
  <autoFilter ref="B26:C30"/>
  <tableColumns count="2">
    <tableColumn id="1" name="Tipo riesgo" dataDxfId="137"/>
    <tableColumn id="2" name="Código riesgo" dataDxfId="136"/>
  </tableColumns>
  <tableStyleInfo name="BM" showFirstColumn="0" showLastColumn="0" showRowStripes="1" showColumnStripes="0"/>
</table>
</file>

<file path=xl/tables/table4.xml><?xml version="1.0" encoding="utf-8"?>
<table xmlns="http://schemas.openxmlformats.org/spreadsheetml/2006/main" id="8" name="Tableau8" displayName="Tableau8" ref="B32:C36" totalsRowShown="0" headerRowDxfId="135" dataDxfId="134" headerRowCellStyle="Normal" dataCellStyle="Normal">
  <autoFilter ref="B32:C36"/>
  <tableColumns count="2">
    <tableColumn id="1" name="Nivel de riesgo" dataDxfId="133" dataCellStyle="Normal"/>
    <tableColumn id="2" name="Tratamiento" dataDxfId="132" dataCellStyle="Normal"/>
  </tableColumns>
  <tableStyleInfo name="BM" showFirstColumn="0" showLastColumn="0" showRowStripes="1" showColumnStripes="0"/>
</table>
</file>

<file path=xl/tables/table5.xml><?xml version="1.0" encoding="utf-8"?>
<table xmlns="http://schemas.openxmlformats.org/spreadsheetml/2006/main" id="6" name="Tableau68" displayName="Tableau68" ref="B38:B41" totalsRowShown="0" headerRowDxfId="131" dataDxfId="130">
  <tableColumns count="1">
    <tableColumn id="1" name="Estado de acciones" dataDxfId="129"/>
  </tableColumns>
  <tableStyleInfo name="BM" showFirstColumn="0" showLastColumn="0" showRowStripes="1" showColumnStripes="0"/>
</table>
</file>

<file path=xl/tables/table6.xml><?xml version="1.0" encoding="utf-8"?>
<table xmlns="http://schemas.openxmlformats.org/spreadsheetml/2006/main" id="2" name="Tabla2" displayName="Tabla2" ref="H2:I10" totalsRowShown="0" headerRowDxfId="128" dataDxfId="127" headerRowCellStyle="Normal" dataCellStyle="Normal">
  <autoFilter ref="H2:I10"/>
  <tableColumns count="2">
    <tableColumn id="1" name="Factores de Riesgo" dataDxfId="126" dataCellStyle="Normal"/>
    <tableColumn id="2" name="Código Factor" dataDxfId="125" dataCellStyle="Normal"/>
  </tableColumns>
  <tableStyleInfo name="BM" showFirstColumn="0" showLastColumn="0" showRowStripes="1" showColumnStripes="0"/>
</table>
</file>

<file path=xl/tables/table7.xml><?xml version="1.0" encoding="utf-8"?>
<table xmlns="http://schemas.openxmlformats.org/spreadsheetml/2006/main" id="4" name="Tableau35" displayName="Tableau35" ref="I14:N25" totalsRowShown="0" headerRowDxfId="124" dataDxfId="123" headerRowCellStyle="Normal" dataCellStyle="Normal">
  <tableColumns count="6">
    <tableColumn id="1" name="COD" dataDxfId="122" dataCellStyle="Normal"/>
    <tableColumn id="2" name="RC" dataDxfId="121" dataCellStyle="Normal"/>
    <tableColumn id="3" name="RL" dataDxfId="120" dataCellStyle="Normal"/>
    <tableColumn id="4" name="RR" dataDxfId="119" dataCellStyle="Normal"/>
    <tableColumn id="5" name="RO" dataDxfId="118" dataCellStyle="Normal"/>
    <tableColumn id="6" name="CONSECUENCIAS" dataDxfId="117" dataCellStyle="Normal"/>
  </tableColumns>
  <tableStyleInfo name="BM" showFirstColumn="0" showLastColumn="0" showRowStripes="1" showColumnStripes="0"/>
</table>
</file>

<file path=xl/tables/table8.xml><?xml version="1.0" encoding="utf-8"?>
<table xmlns="http://schemas.openxmlformats.org/spreadsheetml/2006/main" id="14" name="Tabla14" displayName="Tabla14" ref="A1:H6" totalsRowShown="0">
  <autoFilter ref="A1:H6"/>
  <tableColumns count="8">
    <tableColumn id="1" name="Procesos/Áreas de práctica"/>
    <tableColumn id="2" name="Subproceso"/>
    <tableColumn id="3" name="No. Riesgo"/>
    <tableColumn id="4" name="Código evento"/>
    <tableColumn id="5" name="Factor de riesgo"/>
    <tableColumn id="6" name="Código proceso"/>
    <tableColumn id="7" name="Código riesgo"/>
    <tableColumn id="8" name="Evento de riesgo"/>
  </tableColumns>
  <tableStyleInfo name="TableStyleMedium2" showFirstColumn="0" showLastColumn="0" showRowStripes="1" showColumnStripes="0"/>
</table>
</file>

<file path=xl/tables/table9.xml><?xml version="1.0" encoding="utf-8"?>
<table xmlns="http://schemas.openxmlformats.org/spreadsheetml/2006/main" id="16" name="Tabla16" displayName="Tabla16" ref="A1:H3" totalsRowShown="0">
  <autoFilter ref="A1:H3"/>
  <tableColumns count="8">
    <tableColumn id="1" name="Procesos/Áreas de práctica"/>
    <tableColumn id="2" name="Subproceso"/>
    <tableColumn id="3" name="No. Riesgo"/>
    <tableColumn id="4" name="Código evento"/>
    <tableColumn id="5" name="Factor de riesgo"/>
    <tableColumn id="6" name="Código proceso"/>
    <tableColumn id="7" name="Código riesgo"/>
    <tableColumn id="8" name="Evento de riesgo"/>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table" Target="../tables/table15.xml"/><Relationship Id="rId4" Type="http://schemas.openxmlformats.org/officeDocument/2006/relationships/table" Target="../tables/table1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drawing" Target="../drawings/drawing9.xml"/><Relationship Id="rId4" Type="http://schemas.openxmlformats.org/officeDocument/2006/relationships/table" Target="../tables/table1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table" Target="../tables/table9.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29"/>
  <sheetViews>
    <sheetView showGridLines="0" showRowColHeaders="0" tabSelected="1" zoomScale="70" zoomScaleNormal="70" workbookViewId="0">
      <pane ySplit="27" topLeftCell="A28" activePane="bottomLeft" state="frozen"/>
      <selection pane="bottomLeft" activeCell="E19" sqref="E19"/>
    </sheetView>
  </sheetViews>
  <sheetFormatPr baseColWidth="10" defaultColWidth="0" defaultRowHeight="14.25" customHeight="1" zeroHeight="1" x14ac:dyDescent="0.35"/>
  <cols>
    <col min="1" max="4" width="12.26953125" style="58" customWidth="1"/>
    <col min="5" max="5" width="100.7265625" style="58" customWidth="1"/>
    <col min="6" max="16384" width="12.26953125" style="58" hidden="1"/>
  </cols>
  <sheetData>
    <row r="1" spans="1:5" ht="14.25" customHeight="1" x14ac:dyDescent="0.35">
      <c r="A1" s="59"/>
      <c r="B1" s="59"/>
      <c r="C1" s="59"/>
      <c r="D1" s="59"/>
      <c r="E1" s="59"/>
    </row>
    <row r="2" spans="1:5" ht="14.25" customHeight="1" x14ac:dyDescent="0.35">
      <c r="A2" s="59"/>
      <c r="B2" s="59"/>
      <c r="C2" s="59"/>
      <c r="D2" s="59"/>
      <c r="E2" s="59"/>
    </row>
    <row r="3" spans="1:5" ht="14.25" customHeight="1" x14ac:dyDescent="0.35">
      <c r="A3" s="59"/>
      <c r="B3" s="59"/>
      <c r="C3" s="59"/>
      <c r="D3" s="59"/>
      <c r="E3" s="59"/>
    </row>
    <row r="4" spans="1:5" ht="100" customHeight="1" x14ac:dyDescent="0.35">
      <c r="A4" s="59"/>
      <c r="B4" s="59"/>
      <c r="C4" s="59"/>
      <c r="D4" s="59"/>
      <c r="E4" s="59"/>
    </row>
    <row r="5" spans="1:5" ht="14.25" customHeight="1" x14ac:dyDescent="0.35">
      <c r="A5" s="59"/>
      <c r="B5" s="59"/>
      <c r="C5" s="59"/>
      <c r="D5" s="59"/>
      <c r="E5" s="59"/>
    </row>
    <row r="6" spans="1:5" ht="14.25" customHeight="1" x14ac:dyDescent="0.35">
      <c r="A6" s="59"/>
      <c r="B6" s="59"/>
      <c r="C6" s="59"/>
      <c r="D6" s="59"/>
      <c r="E6" s="59"/>
    </row>
    <row r="7" spans="1:5" ht="14.25" customHeight="1" x14ac:dyDescent="0.35">
      <c r="A7" s="60"/>
      <c r="B7" s="61"/>
      <c r="C7" s="59"/>
      <c r="D7" s="59"/>
      <c r="E7" s="59"/>
    </row>
    <row r="8" spans="1:5" ht="14.25" customHeight="1" x14ac:dyDescent="0.35">
      <c r="A8" s="62"/>
      <c r="B8" s="63"/>
      <c r="C8" s="59"/>
      <c r="D8" s="59"/>
      <c r="E8" s="59"/>
    </row>
    <row r="9" spans="1:5" ht="14.25" customHeight="1" x14ac:dyDescent="0.35">
      <c r="A9" s="59"/>
      <c r="B9" s="59"/>
      <c r="C9" s="59"/>
      <c r="D9" s="59"/>
      <c r="E9" s="59"/>
    </row>
    <row r="10" spans="1:5" ht="14.25" customHeight="1" x14ac:dyDescent="0.35">
      <c r="A10" s="59"/>
      <c r="B10" s="59"/>
      <c r="C10" s="59"/>
      <c r="D10" s="59"/>
      <c r="E10" s="59"/>
    </row>
    <row r="11" spans="1:5" ht="14.25" customHeight="1" x14ac:dyDescent="0.35">
      <c r="A11" s="59"/>
      <c r="B11" s="59"/>
      <c r="C11" s="59"/>
      <c r="D11" s="59"/>
      <c r="E11" s="59"/>
    </row>
    <row r="12" spans="1:5" ht="14.25" customHeight="1" x14ac:dyDescent="0.35">
      <c r="A12" s="59"/>
      <c r="B12" s="59"/>
      <c r="C12" s="59"/>
      <c r="D12" s="59"/>
      <c r="E12" s="59"/>
    </row>
    <row r="13" spans="1:5" ht="14.25" customHeight="1" x14ac:dyDescent="0.35">
      <c r="A13" s="59"/>
      <c r="B13" s="59"/>
      <c r="C13" s="59"/>
      <c r="D13" s="59"/>
      <c r="E13" s="59"/>
    </row>
    <row r="14" spans="1:5" ht="14.25" customHeight="1" x14ac:dyDescent="0.35">
      <c r="A14" s="59"/>
      <c r="B14" s="59"/>
      <c r="C14" s="59"/>
      <c r="D14" s="59"/>
      <c r="E14" s="59"/>
    </row>
    <row r="15" spans="1:5" ht="14.25" customHeight="1" x14ac:dyDescent="0.35">
      <c r="A15" s="59"/>
      <c r="B15" s="59"/>
      <c r="C15" s="59"/>
      <c r="D15" s="59"/>
      <c r="E15" s="59"/>
    </row>
    <row r="16" spans="1:5" ht="14.25" customHeight="1" x14ac:dyDescent="0.35">
      <c r="A16" s="59"/>
      <c r="B16" s="59"/>
      <c r="C16" s="59"/>
      <c r="D16" s="59"/>
      <c r="E16" s="59"/>
    </row>
    <row r="17" spans="1:5" ht="14.25" customHeight="1" x14ac:dyDescent="0.35">
      <c r="A17" s="59"/>
      <c r="B17" s="59"/>
      <c r="C17" s="59"/>
      <c r="D17" s="59"/>
      <c r="E17" s="59"/>
    </row>
    <row r="18" spans="1:5" ht="14.25" customHeight="1" x14ac:dyDescent="0.35">
      <c r="A18" s="59"/>
      <c r="B18" s="59"/>
      <c r="C18" s="59"/>
      <c r="D18" s="59"/>
      <c r="E18" s="59"/>
    </row>
    <row r="19" spans="1:5" ht="14.25" customHeight="1" x14ac:dyDescent="0.35">
      <c r="A19" s="59"/>
      <c r="B19" s="59"/>
      <c r="C19" s="59"/>
      <c r="D19" s="59"/>
      <c r="E19" s="59"/>
    </row>
    <row r="20" spans="1:5" ht="14.25" customHeight="1" x14ac:dyDescent="0.35">
      <c r="A20" s="59"/>
      <c r="B20" s="59"/>
      <c r="C20" s="59"/>
      <c r="D20" s="59"/>
      <c r="E20" s="59"/>
    </row>
    <row r="21" spans="1:5" ht="14.25" customHeight="1" x14ac:dyDescent="0.35">
      <c r="A21" s="59"/>
      <c r="B21" s="59"/>
      <c r="C21" s="59"/>
      <c r="D21" s="59"/>
      <c r="E21" s="59"/>
    </row>
    <row r="22" spans="1:5" ht="14.25" customHeight="1" x14ac:dyDescent="0.35">
      <c r="A22" s="59"/>
      <c r="B22" s="59"/>
      <c r="C22" s="59"/>
      <c r="D22" s="59"/>
      <c r="E22" s="59"/>
    </row>
    <row r="23" spans="1:5" ht="14.25" customHeight="1" x14ac:dyDescent="0.35">
      <c r="A23" s="59"/>
      <c r="B23" s="59"/>
      <c r="C23" s="59"/>
      <c r="D23" s="59"/>
      <c r="E23" s="59"/>
    </row>
    <row r="24" spans="1:5" ht="14.25" customHeight="1" x14ac:dyDescent="0.35">
      <c r="A24" s="59"/>
      <c r="B24" s="59"/>
      <c r="C24" s="59"/>
      <c r="D24" s="59"/>
      <c r="E24" s="59"/>
    </row>
    <row r="25" spans="1:5" ht="14.25" customHeight="1" x14ac:dyDescent="0.35">
      <c r="A25" s="59"/>
      <c r="B25" s="59"/>
      <c r="C25" s="59"/>
      <c r="D25" s="59"/>
      <c r="E25" s="59"/>
    </row>
    <row r="26" spans="1:5" ht="14.25" customHeight="1" x14ac:dyDescent="0.35">
      <c r="A26" s="59"/>
      <c r="B26" s="59"/>
      <c r="C26" s="59"/>
      <c r="D26" s="59"/>
      <c r="E26" s="59"/>
    </row>
    <row r="27" spans="1:5" ht="14.25" customHeight="1" x14ac:dyDescent="0.45">
      <c r="A27" s="59"/>
      <c r="B27" s="169" t="s">
        <v>0</v>
      </c>
      <c r="C27" s="169"/>
      <c r="D27" s="169"/>
      <c r="E27" s="169"/>
    </row>
    <row r="28" spans="1:5" ht="14.25" customHeight="1" x14ac:dyDescent="0.35">
      <c r="A28" s="59"/>
      <c r="B28" s="59"/>
      <c r="C28" s="59"/>
      <c r="D28" s="59"/>
      <c r="E28" s="160"/>
    </row>
    <row r="29" spans="1:5" ht="14.25" customHeight="1" x14ac:dyDescent="0.35">
      <c r="A29" s="59"/>
      <c r="B29" s="59"/>
      <c r="C29" s="59"/>
      <c r="D29" s="59"/>
      <c r="E29" s="59"/>
    </row>
  </sheetData>
  <mergeCells count="1">
    <mergeCell ref="B27:E2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B0F0"/>
  </sheetPr>
  <dimension ref="B1:AH89"/>
  <sheetViews>
    <sheetView zoomScale="85" zoomScaleNormal="85" zoomScalePageLayoutView="32" workbookViewId="0">
      <selection activeCell="I2" sqref="I2"/>
    </sheetView>
  </sheetViews>
  <sheetFormatPr baseColWidth="10" defaultColWidth="11.26953125" defaultRowHeight="13" x14ac:dyDescent="0.3"/>
  <cols>
    <col min="1" max="1" width="2.26953125" style="3" customWidth="1"/>
    <col min="2" max="2" width="14" style="3" customWidth="1"/>
    <col min="3" max="3" width="20.54296875" style="6" customWidth="1"/>
    <col min="4" max="4" width="22.26953125" style="6" customWidth="1"/>
    <col min="5" max="7" width="17.26953125" style="6" customWidth="1"/>
    <col min="8" max="8" width="14.7265625" style="6" customWidth="1"/>
    <col min="9" max="9" width="44" style="3" customWidth="1"/>
    <col min="10" max="10" width="4.81640625" style="2" customWidth="1"/>
    <col min="11" max="13" width="4.7265625" style="2" customWidth="1"/>
    <col min="14" max="15" width="33.81640625" style="3" customWidth="1"/>
    <col min="16" max="16" width="5.81640625" style="3" customWidth="1"/>
    <col min="17" max="21" width="6.7265625" style="3" customWidth="1"/>
    <col min="22" max="22" width="8.26953125" style="4" customWidth="1"/>
    <col min="23" max="23" width="16" style="4" customWidth="1"/>
    <col min="24" max="24" width="16.1796875" style="4" customWidth="1"/>
    <col min="25" max="25" width="17.54296875" style="21" customWidth="1"/>
    <col min="26" max="26" width="26.81640625" style="21" customWidth="1"/>
    <col min="27" max="27" width="17.7265625" style="21" customWidth="1"/>
    <col min="28" max="28" width="38.7265625" style="23" customWidth="1"/>
    <col min="29" max="29" width="9" style="23" customWidth="1"/>
    <col min="30" max="30" width="27.7265625" style="21" bestFit="1" customWidth="1"/>
    <col min="31" max="31" width="17.26953125" style="21" customWidth="1"/>
    <col min="32" max="32" width="18.1796875" style="21" bestFit="1" customWidth="1"/>
    <col min="33" max="33" width="11.26953125" style="21"/>
    <col min="34" max="34" width="27.7265625" style="3" bestFit="1" customWidth="1"/>
    <col min="35" max="36" width="15.1796875" style="3" customWidth="1"/>
    <col min="37" max="16384" width="11.26953125" style="3"/>
  </cols>
  <sheetData>
    <row r="1" spans="2:34" ht="43.5" customHeight="1" x14ac:dyDescent="0.3">
      <c r="B1" s="117" t="s">
        <v>269</v>
      </c>
      <c r="C1" s="117" t="s">
        <v>270</v>
      </c>
      <c r="D1" s="117" t="s">
        <v>271</v>
      </c>
      <c r="E1" s="117" t="s">
        <v>272</v>
      </c>
      <c r="F1" s="117" t="s">
        <v>273</v>
      </c>
      <c r="G1" s="117" t="s">
        <v>274</v>
      </c>
      <c r="H1" s="117" t="s">
        <v>275</v>
      </c>
      <c r="I1" s="117" t="s">
        <v>276</v>
      </c>
      <c r="J1" s="90" t="s">
        <v>82</v>
      </c>
      <c r="K1" s="90" t="s">
        <v>84</v>
      </c>
      <c r="L1" s="90" t="s">
        <v>86</v>
      </c>
      <c r="M1" s="90" t="s">
        <v>88</v>
      </c>
      <c r="N1" s="117" t="s">
        <v>277</v>
      </c>
      <c r="O1" s="117" t="s">
        <v>151</v>
      </c>
      <c r="P1" s="118" t="s">
        <v>103</v>
      </c>
      <c r="Q1" s="90" t="s">
        <v>82</v>
      </c>
      <c r="R1" s="90" t="s">
        <v>84</v>
      </c>
      <c r="S1" s="90" t="s">
        <v>86</v>
      </c>
      <c r="T1" s="90" t="s">
        <v>88</v>
      </c>
      <c r="U1" s="118" t="s">
        <v>278</v>
      </c>
      <c r="V1" s="118" t="s">
        <v>279</v>
      </c>
      <c r="W1" s="117" t="s">
        <v>280</v>
      </c>
      <c r="X1" s="117" t="s">
        <v>281</v>
      </c>
      <c r="AG1" s="30"/>
      <c r="AH1" s="21"/>
    </row>
    <row r="2" spans="2:34" ht="111.75" customHeight="1" x14ac:dyDescent="0.3">
      <c r="B2" s="71"/>
      <c r="C2" s="71" t="s">
        <v>178</v>
      </c>
      <c r="D2" s="71" t="s">
        <v>178</v>
      </c>
      <c r="E2" s="71">
        <f t="shared" ref="E2:E16" si="0">ROW(C2)-6</f>
        <v>-4</v>
      </c>
      <c r="F2" s="71" t="s">
        <v>37</v>
      </c>
      <c r="G2" s="88" t="str">
        <f>IFERROR(VLOOKUP($C2,Tablas1!$B$3:$C$25,2,0),"ERROR")</f>
        <v>ERROR</v>
      </c>
      <c r="H2" s="89" t="str">
        <f>IFERROR(VLOOKUP(F2,Tablas1!$H$2:$I$10,2,0),"ERROR")</f>
        <v>FAC5</v>
      </c>
      <c r="I2" s="72" t="s">
        <v>282</v>
      </c>
      <c r="J2" s="73" t="s">
        <v>154</v>
      </c>
      <c r="K2" s="73" t="s">
        <v>154</v>
      </c>
      <c r="L2" s="73" t="s">
        <v>154</v>
      </c>
      <c r="M2" s="73" t="s">
        <v>154</v>
      </c>
      <c r="N2" s="72" t="s">
        <v>283</v>
      </c>
      <c r="O2" s="72" t="str">
        <f>VLOOKUP(CONCATENATE(IF(J2="X",1,0),IF(K2="X",2,0),IF(L2="X",3,0),IF(M2="X",4,0)),Puntuaciones!$I$15:$N$67,6,0)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2" s="70"/>
      <c r="Q2" s="86"/>
      <c r="R2" s="86"/>
      <c r="S2" s="86"/>
      <c r="T2" s="86"/>
      <c r="U2" s="87"/>
      <c r="V2" s="74"/>
      <c r="W2" s="75" t="str">
        <f t="shared" ref="W2:W54" si="1">IF(AND(V2&gt;0,V2&lt;8),"BAJO",IF(AND(V2&gt;=8,V2&lt;14),"MEDIO",IF(AND(V2&gt;=14,V2&lt;20),"ALTO",IF(AND(V2&gt;=20,V2&lt;26),"EXTREMO",""))))</f>
        <v/>
      </c>
      <c r="X2" s="76" t="str">
        <f t="shared" ref="X2:X22" si="2">IFERROR(VLOOKUP(W2,RIEGO,2,FALSE),"")</f>
        <v/>
      </c>
    </row>
    <row r="3" spans="2:34" ht="111.75" customHeight="1" x14ac:dyDescent="0.3">
      <c r="B3" s="71"/>
      <c r="C3" s="71" t="s">
        <v>178</v>
      </c>
      <c r="D3" s="71" t="s">
        <v>178</v>
      </c>
      <c r="E3" s="71">
        <f t="shared" si="0"/>
        <v>-3</v>
      </c>
      <c r="F3" s="71" t="s">
        <v>184</v>
      </c>
      <c r="G3" s="88" t="str">
        <f>IFERROR(VLOOKUP($C3,Tablas1!$B$3:$C$25,2,0),"ERROR")</f>
        <v>ERROR</v>
      </c>
      <c r="H3" s="89" t="str">
        <f>IFERROR(VLOOKUP(F3,Tablas1!$H$2:$I$10,2,0),"ERROR")</f>
        <v>ERROR</v>
      </c>
      <c r="I3" s="72" t="s">
        <v>282</v>
      </c>
      <c r="J3" s="73"/>
      <c r="K3" s="73" t="s">
        <v>154</v>
      </c>
      <c r="L3" s="73" t="s">
        <v>154</v>
      </c>
      <c r="M3" s="73" t="s">
        <v>154</v>
      </c>
      <c r="N3" s="72" t="s">
        <v>283</v>
      </c>
      <c r="O3" s="72" t="str">
        <f>VLOOKUP(CONCATENATE(IF(J3="X",1,0),IF(K3="X",2,0),IF(L3="X",3,0),IF(M3="X",4,0)),Puntuaciones!$I$15:$N$67,6,0)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3" s="70"/>
      <c r="Q3" s="86"/>
      <c r="R3" s="86"/>
      <c r="S3" s="86"/>
      <c r="T3" s="86"/>
      <c r="U3" s="87"/>
      <c r="V3" s="74"/>
      <c r="W3" s="75" t="str">
        <f t="shared" si="1"/>
        <v/>
      </c>
      <c r="X3" s="76" t="str">
        <f t="shared" si="2"/>
        <v/>
      </c>
    </row>
    <row r="4" spans="2:34" ht="111.75" customHeight="1" x14ac:dyDescent="0.3">
      <c r="B4" s="71"/>
      <c r="C4" s="71" t="s">
        <v>178</v>
      </c>
      <c r="D4" s="71" t="s">
        <v>178</v>
      </c>
      <c r="E4" s="71">
        <f t="shared" si="0"/>
        <v>-2</v>
      </c>
      <c r="F4" s="71" t="s">
        <v>284</v>
      </c>
      <c r="G4" s="88" t="str">
        <f>IFERROR(VLOOKUP($C4,Tablas1!$B$3:$C$25,2,0),"ERROR")</f>
        <v>ERROR</v>
      </c>
      <c r="H4" s="89" t="str">
        <f>IFERROR(VLOOKUP(F4,Tablas1!$H$2:$I$10,2,0),"ERROR")</f>
        <v>ERROR</v>
      </c>
      <c r="I4" s="72" t="s">
        <v>282</v>
      </c>
      <c r="J4" s="73"/>
      <c r="K4" s="73" t="s">
        <v>154</v>
      </c>
      <c r="L4" s="73" t="s">
        <v>154</v>
      </c>
      <c r="M4" s="73" t="s">
        <v>154</v>
      </c>
      <c r="N4" s="72" t="s">
        <v>283</v>
      </c>
      <c r="O4" s="72" t="str">
        <f>VLOOKUP(CONCATENATE(IF(J4="X",1,0),IF(K4="X",2,0),IF(L4="X",3,0),IF(M4="X",4,0)),Puntuaciones!$I$15:$N$67,6,0)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4" s="70"/>
      <c r="Q4" s="86"/>
      <c r="R4" s="86"/>
      <c r="S4" s="86"/>
      <c r="T4" s="86"/>
      <c r="U4" s="87"/>
      <c r="V4" s="74"/>
      <c r="W4" s="75" t="str">
        <f t="shared" si="1"/>
        <v/>
      </c>
      <c r="X4" s="76" t="str">
        <f t="shared" si="2"/>
        <v/>
      </c>
    </row>
    <row r="5" spans="2:34" ht="111.75" customHeight="1" x14ac:dyDescent="0.3">
      <c r="B5" s="71"/>
      <c r="C5" s="71" t="s">
        <v>178</v>
      </c>
      <c r="D5" s="71" t="s">
        <v>178</v>
      </c>
      <c r="E5" s="71">
        <f t="shared" si="0"/>
        <v>-1</v>
      </c>
      <c r="F5" s="71" t="s">
        <v>188</v>
      </c>
      <c r="G5" s="88" t="str">
        <f>IFERROR(VLOOKUP($C5,Tablas1!$B$3:$C$25,2,0),"ERROR")</f>
        <v>ERROR</v>
      </c>
      <c r="H5" s="89" t="str">
        <f>IFERROR(VLOOKUP(F5,Tablas1!$H$2:$I$10,2,0),"ERROR")</f>
        <v>ERROR</v>
      </c>
      <c r="I5" s="72" t="s">
        <v>282</v>
      </c>
      <c r="J5" s="73"/>
      <c r="K5" s="73" t="s">
        <v>154</v>
      </c>
      <c r="L5" s="73" t="s">
        <v>154</v>
      </c>
      <c r="M5" s="73" t="s">
        <v>154</v>
      </c>
      <c r="N5" s="72" t="s">
        <v>283</v>
      </c>
      <c r="O5" s="72" t="str">
        <f>VLOOKUP(CONCATENATE(IF(J5="X",1,0),IF(K5="X",2,0),IF(L5="X",3,0),IF(M5="X",4,0)),Puntuaciones!$I$15:$N$67,6,0)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5" s="70"/>
      <c r="Q5" s="86"/>
      <c r="R5" s="86"/>
      <c r="S5" s="86"/>
      <c r="T5" s="86"/>
      <c r="U5" s="87"/>
      <c r="V5" s="74"/>
      <c r="W5" s="75" t="str">
        <f t="shared" si="1"/>
        <v/>
      </c>
      <c r="X5" s="76" t="str">
        <f t="shared" si="2"/>
        <v/>
      </c>
    </row>
    <row r="6" spans="2:34" ht="111.75" customHeight="1" x14ac:dyDescent="0.3">
      <c r="B6" s="71"/>
      <c r="C6" s="71" t="s">
        <v>178</v>
      </c>
      <c r="D6" s="71" t="s">
        <v>285</v>
      </c>
      <c r="E6" s="71">
        <f t="shared" si="0"/>
        <v>0</v>
      </c>
      <c r="F6" s="71" t="s">
        <v>184</v>
      </c>
      <c r="G6" s="88" t="str">
        <f>IFERROR(VLOOKUP($C6,Tablas1!$B$3:$C$25,2,0),"ERROR")</f>
        <v>ERROR</v>
      </c>
      <c r="H6" s="89" t="str">
        <f>IFERROR(VLOOKUP(F6,Tablas1!$H$2:$I$10,2,0),"ERROR")</f>
        <v>ERROR</v>
      </c>
      <c r="I6" s="72" t="s">
        <v>286</v>
      </c>
      <c r="J6" s="73" t="s">
        <v>154</v>
      </c>
      <c r="K6" s="73" t="s">
        <v>154</v>
      </c>
      <c r="L6" s="73" t="s">
        <v>154</v>
      </c>
      <c r="M6" s="73" t="s">
        <v>154</v>
      </c>
      <c r="N6" s="72" t="s">
        <v>287</v>
      </c>
      <c r="O6" s="72" t="str">
        <f>VLOOKUP(CONCATENATE(IF(J6="X",1,0),IF(K6="X",2,0),IF(L6="X",3,0),IF(M6="X",4,0)),Puntuaciones!$I$15:$N$67,6,0)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6" s="70"/>
      <c r="Q6" s="86"/>
      <c r="R6" s="86"/>
      <c r="S6" s="86"/>
      <c r="T6" s="86"/>
      <c r="U6" s="87"/>
      <c r="V6" s="74"/>
      <c r="W6" s="75" t="str">
        <f t="shared" si="1"/>
        <v/>
      </c>
      <c r="X6" s="76" t="str">
        <f t="shared" si="2"/>
        <v/>
      </c>
    </row>
    <row r="7" spans="2:34" ht="111.75" customHeight="1" x14ac:dyDescent="0.3">
      <c r="B7" s="71"/>
      <c r="C7" s="71" t="s">
        <v>178</v>
      </c>
      <c r="D7" s="71" t="s">
        <v>285</v>
      </c>
      <c r="E7" s="71">
        <f t="shared" si="0"/>
        <v>1</v>
      </c>
      <c r="F7" s="71" t="s">
        <v>192</v>
      </c>
      <c r="G7" s="88" t="str">
        <f>IFERROR(VLOOKUP($C7,Tablas1!$B$3:$C$25,2,0),"ERROR")</f>
        <v>ERROR</v>
      </c>
      <c r="H7" s="89" t="str">
        <f>IFERROR(VLOOKUP(F7,Tablas1!$H$2:$I$10,2,0),"ERROR")</f>
        <v>ERROR</v>
      </c>
      <c r="I7" s="88" t="s">
        <v>193</v>
      </c>
      <c r="J7" s="73"/>
      <c r="K7" s="73" t="s">
        <v>154</v>
      </c>
      <c r="L7" s="73" t="s">
        <v>154</v>
      </c>
      <c r="M7" s="73" t="s">
        <v>154</v>
      </c>
      <c r="N7" s="72" t="s">
        <v>288</v>
      </c>
      <c r="O7" s="72" t="str">
        <f>VLOOKUP(CONCATENATE(IF(J7="X",1,0),IF(K7="X",2,0),IF(L7="X",3,0),IF(M7="X",4,0)),Puntuaciones!$I$15:$N$67,6,0)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7" s="70"/>
      <c r="Q7" s="86"/>
      <c r="R7" s="86"/>
      <c r="S7" s="86"/>
      <c r="T7" s="86"/>
      <c r="U7" s="87"/>
      <c r="V7" s="74"/>
      <c r="W7" s="75"/>
      <c r="X7" s="76"/>
    </row>
    <row r="8" spans="2:34" ht="111.75" customHeight="1" x14ac:dyDescent="0.3">
      <c r="B8" s="71"/>
      <c r="C8" s="71" t="s">
        <v>178</v>
      </c>
      <c r="D8" s="71" t="s">
        <v>285</v>
      </c>
      <c r="E8" s="71">
        <f t="shared" si="0"/>
        <v>2</v>
      </c>
      <c r="F8" s="71" t="s">
        <v>289</v>
      </c>
      <c r="G8" s="88" t="str">
        <f>IFERROR(VLOOKUP($C8,Tablas1!$B$3:$C$25,2,0),"ERROR")</f>
        <v>ERROR</v>
      </c>
      <c r="H8" s="89" t="str">
        <f>IFERROR(VLOOKUP(F8,Tablas1!$H$2:$I$10,2,0),"ERROR")</f>
        <v>ERROR</v>
      </c>
      <c r="I8" s="88" t="s">
        <v>290</v>
      </c>
      <c r="J8" s="73"/>
      <c r="K8" s="73" t="s">
        <v>154</v>
      </c>
      <c r="L8" s="73" t="s">
        <v>154</v>
      </c>
      <c r="M8" s="73" t="s">
        <v>154</v>
      </c>
      <c r="N8" s="72" t="s">
        <v>291</v>
      </c>
      <c r="O8" s="72" t="str">
        <f>VLOOKUP(CONCATENATE(IF(J8="X",1,0),IF(K8="X",2,0),IF(L8="X",3,0),IF(M8="X",4,0)),Puntuaciones!$I$15:$N$67,6,0)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8" s="70"/>
      <c r="Q8" s="86"/>
      <c r="R8" s="86"/>
      <c r="S8" s="86"/>
      <c r="T8" s="86"/>
      <c r="U8" s="87"/>
      <c r="V8" s="74"/>
      <c r="W8" s="75"/>
      <c r="X8" s="76"/>
    </row>
    <row r="9" spans="2:34" ht="111.75" customHeight="1" x14ac:dyDescent="0.3">
      <c r="B9" s="71"/>
      <c r="C9" s="71" t="s">
        <v>178</v>
      </c>
      <c r="D9" s="71" t="s">
        <v>285</v>
      </c>
      <c r="E9" s="71">
        <f t="shared" si="0"/>
        <v>3</v>
      </c>
      <c r="F9" s="71" t="s">
        <v>17</v>
      </c>
      <c r="G9" s="88" t="str">
        <f>IFERROR(VLOOKUP($C9,Tablas1!$B$3:$C$25,2,0),"ERROR")</f>
        <v>ERROR</v>
      </c>
      <c r="H9" s="89" t="str">
        <f>IFERROR(VLOOKUP(F9,Tablas1!$H$2:$I$10,2,0),"ERROR")</f>
        <v>FAC2</v>
      </c>
      <c r="I9" s="88" t="s">
        <v>292</v>
      </c>
      <c r="J9" s="73"/>
      <c r="K9" s="73" t="s">
        <v>154</v>
      </c>
      <c r="L9" s="73" t="s">
        <v>154</v>
      </c>
      <c r="M9" s="73" t="s">
        <v>154</v>
      </c>
      <c r="N9" s="72" t="s">
        <v>293</v>
      </c>
      <c r="O9" s="72" t="str">
        <f>VLOOKUP(CONCATENATE(IF(J9="X",1,0),IF(K9="X",2,0),IF(L9="X",3,0),IF(M9="X",4,0)),Puntuaciones!$I$15:$N$67,6,0)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9" s="70"/>
      <c r="Q9" s="86"/>
      <c r="R9" s="86"/>
      <c r="S9" s="86"/>
      <c r="T9" s="86"/>
      <c r="U9" s="87"/>
      <c r="V9" s="74"/>
      <c r="W9" s="75"/>
      <c r="X9" s="76"/>
    </row>
    <row r="10" spans="2:34" ht="111.75" customHeight="1" x14ac:dyDescent="0.3">
      <c r="B10" s="71"/>
      <c r="C10" s="71" t="s">
        <v>178</v>
      </c>
      <c r="D10" s="71" t="s">
        <v>285</v>
      </c>
      <c r="E10" s="71">
        <f t="shared" si="0"/>
        <v>4</v>
      </c>
      <c r="F10" s="71" t="s">
        <v>184</v>
      </c>
      <c r="G10" s="88" t="str">
        <f>IFERROR(VLOOKUP($C10,Tablas1!$B$3:$C$25,2,0),"ERROR")</f>
        <v>ERROR</v>
      </c>
      <c r="H10" s="89" t="str">
        <f>IFERROR(VLOOKUP(F10,Tablas1!$H$2:$I$10,2,0),"ERROR")</f>
        <v>ERROR</v>
      </c>
      <c r="I10" s="72" t="s">
        <v>294</v>
      </c>
      <c r="J10" s="73" t="s">
        <v>154</v>
      </c>
      <c r="K10" s="73" t="s">
        <v>154</v>
      </c>
      <c r="L10" s="73" t="s">
        <v>154</v>
      </c>
      <c r="M10" s="73" t="s">
        <v>154</v>
      </c>
      <c r="N10" s="72" t="s">
        <v>287</v>
      </c>
      <c r="O10" s="72" t="str">
        <f>VLOOKUP(CONCATENATE(IF(J10="X",1,0),IF(K10="X",2,0),IF(L10="X",3,0),IF(M10="X",4,0)),Puntuaciones!$I$15:$N$67,6,0)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10" s="70"/>
      <c r="Q10" s="86"/>
      <c r="R10" s="86"/>
      <c r="S10" s="86"/>
      <c r="T10" s="86"/>
      <c r="U10" s="87"/>
      <c r="V10" s="74"/>
      <c r="W10" s="75" t="str">
        <f t="shared" si="1"/>
        <v/>
      </c>
      <c r="X10" s="76" t="str">
        <f t="shared" si="2"/>
        <v/>
      </c>
    </row>
    <row r="11" spans="2:34" ht="111.75" customHeight="1" x14ac:dyDescent="0.3">
      <c r="B11" s="71"/>
      <c r="C11" s="71" t="s">
        <v>178</v>
      </c>
      <c r="D11" s="71" t="s">
        <v>285</v>
      </c>
      <c r="E11" s="71">
        <f t="shared" si="0"/>
        <v>5</v>
      </c>
      <c r="F11" s="71" t="s">
        <v>184</v>
      </c>
      <c r="G11" s="88" t="str">
        <f>IFERROR(VLOOKUP($C11,Tablas1!$B$3:$C$25,2,0),"ERROR")</f>
        <v>ERROR</v>
      </c>
      <c r="H11" s="89" t="str">
        <f>IFERROR(VLOOKUP(F11,Tablas1!$H$2:$I$10,2,0),"ERROR")</f>
        <v>ERROR</v>
      </c>
      <c r="I11" s="72" t="s">
        <v>295</v>
      </c>
      <c r="J11" s="73" t="s">
        <v>154</v>
      </c>
      <c r="K11" s="73" t="s">
        <v>154</v>
      </c>
      <c r="L11" s="73" t="s">
        <v>154</v>
      </c>
      <c r="M11" s="73" t="s">
        <v>154</v>
      </c>
      <c r="N11" s="72" t="s">
        <v>287</v>
      </c>
      <c r="O11" s="72" t="str">
        <f>VLOOKUP(CONCATENATE(IF(J11="X",1,0),IF(K11="X",2,0),IF(L11="X",3,0),IF(M11="X",4,0)),Puntuaciones!$I$15:$N$67,6,0)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11" s="70"/>
      <c r="Q11" s="86"/>
      <c r="R11" s="86"/>
      <c r="S11" s="86"/>
      <c r="T11" s="86"/>
      <c r="U11" s="87"/>
      <c r="V11" s="74"/>
      <c r="W11" s="75" t="str">
        <f t="shared" si="1"/>
        <v/>
      </c>
      <c r="X11" s="76" t="str">
        <f t="shared" si="2"/>
        <v/>
      </c>
    </row>
    <row r="12" spans="2:34" s="23" customFormat="1" ht="111.75" customHeight="1" x14ac:dyDescent="0.3">
      <c r="B12" s="71"/>
      <c r="C12" s="71" t="s">
        <v>178</v>
      </c>
      <c r="D12" s="71" t="s">
        <v>285</v>
      </c>
      <c r="E12" s="71">
        <f t="shared" si="0"/>
        <v>6</v>
      </c>
      <c r="F12" s="71" t="s">
        <v>184</v>
      </c>
      <c r="G12" s="88" t="str">
        <f>IFERROR(VLOOKUP($C12,Tablas1!$B$3:$C$25,2,0),"ERROR")</f>
        <v>ERROR</v>
      </c>
      <c r="H12" s="89" t="str">
        <f>IFERROR(VLOOKUP(F12,Tablas1!$H$2:$I$10,2,0),"ERROR")</f>
        <v>ERROR</v>
      </c>
      <c r="I12" s="72" t="s">
        <v>296</v>
      </c>
      <c r="J12" s="73" t="s">
        <v>154</v>
      </c>
      <c r="K12" s="73" t="s">
        <v>154</v>
      </c>
      <c r="L12" s="73" t="s">
        <v>154</v>
      </c>
      <c r="M12" s="73" t="s">
        <v>154</v>
      </c>
      <c r="N12" s="72" t="s">
        <v>297</v>
      </c>
      <c r="O12" s="72" t="str">
        <f>VLOOKUP(CONCATENATE(IF(J12="X",1,0),IF(K12="X",2,0),IF(L12="X",3,0),IF(M12="X",4,0)),Puntuaciones!$I$15:$N$67,6,0)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12" s="70"/>
      <c r="Q12" s="86"/>
      <c r="R12" s="86"/>
      <c r="S12" s="86"/>
      <c r="T12" s="86"/>
      <c r="U12" s="87"/>
      <c r="V12" s="74"/>
      <c r="W12" s="75"/>
      <c r="X12" s="76"/>
      <c r="Y12" s="21"/>
      <c r="Z12" s="21"/>
      <c r="AA12" s="21"/>
      <c r="AD12" s="21"/>
      <c r="AE12" s="21"/>
      <c r="AF12" s="21"/>
      <c r="AG12" s="21"/>
      <c r="AH12" s="3"/>
    </row>
    <row r="13" spans="2:34" s="23" customFormat="1" ht="111.75" customHeight="1" x14ac:dyDescent="0.3">
      <c r="B13" s="71"/>
      <c r="C13" s="71" t="s">
        <v>178</v>
      </c>
      <c r="D13" s="71" t="s">
        <v>285</v>
      </c>
      <c r="E13" s="71">
        <f t="shared" si="0"/>
        <v>7</v>
      </c>
      <c r="F13" s="71" t="s">
        <v>184</v>
      </c>
      <c r="G13" s="88" t="str">
        <f>IFERROR(VLOOKUP($C13,Tablas1!$B$3:$C$25,2,0),"ERROR")</f>
        <v>ERROR</v>
      </c>
      <c r="H13" s="89" t="str">
        <f>IFERROR(VLOOKUP(F13,Tablas1!$H$2:$I$10,2,0),"ERROR")</f>
        <v>ERROR</v>
      </c>
      <c r="I13" s="72" t="s">
        <v>298</v>
      </c>
      <c r="J13" s="73" t="s">
        <v>154</v>
      </c>
      <c r="K13" s="73" t="s">
        <v>154</v>
      </c>
      <c r="L13" s="73" t="s">
        <v>154</v>
      </c>
      <c r="M13" s="73" t="s">
        <v>154</v>
      </c>
      <c r="N13" s="72" t="s">
        <v>297</v>
      </c>
      <c r="O13" s="72" t="str">
        <f>VLOOKUP(CONCATENATE(IF(J13="X",1,0),IF(K13="X",2,0),IF(L13="X",3,0),IF(M13="X",4,0)),Puntuaciones!$I$15:$N$67,6,0)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13" s="70"/>
      <c r="Q13" s="86"/>
      <c r="R13" s="86"/>
      <c r="S13" s="86"/>
      <c r="T13" s="86"/>
      <c r="U13" s="87"/>
      <c r="V13" s="74"/>
      <c r="W13" s="75"/>
      <c r="X13" s="76"/>
      <c r="Y13" s="21"/>
      <c r="Z13" s="21"/>
      <c r="AA13" s="21"/>
      <c r="AD13" s="21"/>
      <c r="AE13" s="21"/>
      <c r="AF13" s="21"/>
      <c r="AG13" s="21"/>
      <c r="AH13" s="3"/>
    </row>
    <row r="14" spans="2:34" s="23" customFormat="1" ht="108" customHeight="1" x14ac:dyDescent="0.3">
      <c r="B14" s="71"/>
      <c r="C14" s="71" t="s">
        <v>178</v>
      </c>
      <c r="D14" s="71" t="s">
        <v>285</v>
      </c>
      <c r="E14" s="71">
        <f t="shared" si="0"/>
        <v>8</v>
      </c>
      <c r="F14" s="71" t="s">
        <v>184</v>
      </c>
      <c r="G14" s="88" t="str">
        <f>IFERROR(VLOOKUP($C14,Tablas1!$B$3:$C$25,2,0),"ERROR")</f>
        <v>ERROR</v>
      </c>
      <c r="H14" s="89" t="str">
        <f>IFERROR(VLOOKUP(F14,Tablas1!$H$2:$I$10,2,0),"ERROR")</f>
        <v>ERROR</v>
      </c>
      <c r="I14" s="72" t="s">
        <v>299</v>
      </c>
      <c r="J14" s="73" t="s">
        <v>154</v>
      </c>
      <c r="K14" s="73" t="s">
        <v>154</v>
      </c>
      <c r="L14" s="73" t="s">
        <v>154</v>
      </c>
      <c r="M14" s="73" t="s">
        <v>154</v>
      </c>
      <c r="N14" s="72" t="s">
        <v>300</v>
      </c>
      <c r="O14" s="72" t="str">
        <f>VLOOKUP(CONCATENATE(IF(J14="X",1,0),IF(K14="X",2,0),IF(L14="X",3,0),IF(M14="X",4,0)),Puntuaciones!$I$15:$N$67,6,0)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14" s="70"/>
      <c r="Q14" s="86"/>
      <c r="R14" s="86"/>
      <c r="S14" s="86"/>
      <c r="T14" s="86"/>
      <c r="U14" s="87"/>
      <c r="V14" s="74"/>
      <c r="W14" s="75" t="str">
        <f t="shared" si="1"/>
        <v/>
      </c>
      <c r="X14" s="76" t="str">
        <f t="shared" si="2"/>
        <v/>
      </c>
      <c r="Y14" s="21"/>
      <c r="Z14" s="21"/>
      <c r="AA14" s="21"/>
      <c r="AD14" s="21"/>
      <c r="AE14" s="21"/>
      <c r="AF14" s="21"/>
      <c r="AG14" s="21"/>
      <c r="AH14" s="3"/>
    </row>
    <row r="15" spans="2:34" s="23" customFormat="1" ht="78" customHeight="1" x14ac:dyDescent="0.3">
      <c r="B15" s="71"/>
      <c r="C15" s="71" t="s">
        <v>178</v>
      </c>
      <c r="D15" s="71" t="s">
        <v>285</v>
      </c>
      <c r="E15" s="71">
        <f t="shared" si="0"/>
        <v>9</v>
      </c>
      <c r="F15" s="71" t="s">
        <v>184</v>
      </c>
      <c r="G15" s="88" t="str">
        <f>IFERROR(VLOOKUP($C15,Tablas1!$B$3:$C$25,2,0),"ERROR")</f>
        <v>ERROR</v>
      </c>
      <c r="H15" s="89" t="str">
        <f>IFERROR(VLOOKUP(F15,Tablas1!$H$2:$I$10,2,0),"ERROR")</f>
        <v>ERROR</v>
      </c>
      <c r="I15" s="88" t="s">
        <v>301</v>
      </c>
      <c r="J15" s="73" t="s">
        <v>154</v>
      </c>
      <c r="K15" s="73" t="s">
        <v>154</v>
      </c>
      <c r="L15" s="73" t="s">
        <v>154</v>
      </c>
      <c r="M15" s="73" t="s">
        <v>154</v>
      </c>
      <c r="N15" s="72" t="s">
        <v>287</v>
      </c>
      <c r="O15" s="72" t="str">
        <f>VLOOKUP(CONCATENATE(IF(J15="X",1,0),IF(K15="X",2,0),IF(L15="X",3,0),IF(M15="X",4,0)),Puntuaciones!$I$15:$N$67,6,0)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15" s="70"/>
      <c r="Q15" s="86"/>
      <c r="R15" s="86"/>
      <c r="S15" s="86"/>
      <c r="T15" s="86"/>
      <c r="U15" s="87"/>
      <c r="V15" s="74"/>
      <c r="W15" s="75" t="str">
        <f t="shared" si="1"/>
        <v/>
      </c>
      <c r="X15" s="76" t="str">
        <f t="shared" si="2"/>
        <v/>
      </c>
      <c r="Y15" s="21"/>
      <c r="Z15" s="21"/>
      <c r="AA15" s="21"/>
      <c r="AD15" s="21"/>
      <c r="AE15" s="21"/>
      <c r="AF15" s="21"/>
      <c r="AG15" s="21"/>
      <c r="AH15" s="3"/>
    </row>
    <row r="16" spans="2:34" s="23" customFormat="1" ht="115.5" customHeight="1" x14ac:dyDescent="0.3">
      <c r="B16" s="71"/>
      <c r="C16" s="71" t="s">
        <v>178</v>
      </c>
      <c r="D16" s="71" t="s">
        <v>285</v>
      </c>
      <c r="E16" s="71">
        <f t="shared" si="0"/>
        <v>10</v>
      </c>
      <c r="F16" s="71" t="s">
        <v>184</v>
      </c>
      <c r="G16" s="88" t="str">
        <f>IFERROR(VLOOKUP($C16,Tablas1!$B$3:$C$25,2,0),"ERROR")</f>
        <v>ERROR</v>
      </c>
      <c r="H16" s="89" t="str">
        <f>IFERROR(VLOOKUP(F16,Tablas1!$H$2:$I$10,2,0),"ERROR")</f>
        <v>ERROR</v>
      </c>
      <c r="I16" s="88" t="s">
        <v>302</v>
      </c>
      <c r="J16" s="73" t="s">
        <v>154</v>
      </c>
      <c r="K16" s="73" t="s">
        <v>154</v>
      </c>
      <c r="L16" s="73" t="s">
        <v>154</v>
      </c>
      <c r="M16" s="73" t="s">
        <v>154</v>
      </c>
      <c r="N16" s="72" t="s">
        <v>303</v>
      </c>
      <c r="O16" s="72" t="str">
        <f>VLOOKUP(CONCATENATE(IF(J16="X",1,0),IF(K16="X",2,0),IF(L16="X",3,0),IF(M16="X",4,0)),Puntuaciones!$I$15:$N$67,6,0)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16" s="70"/>
      <c r="Q16" s="86"/>
      <c r="R16" s="86"/>
      <c r="S16" s="86"/>
      <c r="T16" s="86"/>
      <c r="U16" s="87"/>
      <c r="V16" s="74"/>
      <c r="W16" s="75" t="str">
        <f t="shared" si="1"/>
        <v/>
      </c>
      <c r="X16" s="76" t="str">
        <f t="shared" si="2"/>
        <v/>
      </c>
      <c r="Y16" s="21"/>
      <c r="Z16" s="21"/>
      <c r="AA16" s="21"/>
      <c r="AD16" s="21"/>
      <c r="AE16" s="21"/>
      <c r="AF16" s="21"/>
      <c r="AG16" s="21"/>
      <c r="AH16" s="3"/>
    </row>
    <row r="17" spans="2:34" s="23" customFormat="1" ht="84.75" customHeight="1" x14ac:dyDescent="0.3">
      <c r="B17" s="71"/>
      <c r="C17" s="71" t="s">
        <v>304</v>
      </c>
      <c r="D17" s="71" t="s">
        <v>305</v>
      </c>
      <c r="E17" s="71">
        <f>ROW(C17)-6</f>
        <v>11</v>
      </c>
      <c r="F17" s="71" t="s">
        <v>184</v>
      </c>
      <c r="G17" s="88" t="str">
        <f>IFERROR(VLOOKUP($C17,Tablas1!$B$3:$C$25,2,0),"ERROR")</f>
        <v>ERROR</v>
      </c>
      <c r="H17" s="89" t="str">
        <f>IFERROR(VLOOKUP(F17,Tablas1!$H$2:$I$10,2,0),"ERROR")</f>
        <v>ERROR</v>
      </c>
      <c r="I17" s="72" t="s">
        <v>306</v>
      </c>
      <c r="J17" s="73" t="s">
        <v>154</v>
      </c>
      <c r="K17" s="73" t="s">
        <v>154</v>
      </c>
      <c r="L17" s="73" t="s">
        <v>154</v>
      </c>
      <c r="M17" s="73" t="s">
        <v>154</v>
      </c>
      <c r="N17" s="72" t="s">
        <v>307</v>
      </c>
      <c r="O17" s="72" t="str">
        <f>VLOOKUP(CONCATENATE(IF(J17="X",1,0),IF(K17="X",2,0),IF(L17="X",3,0),IF(M17="X",4,0)),Puntuaciones!$I$15:$N$67,6,0)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17" s="70"/>
      <c r="Q17" s="86"/>
      <c r="R17" s="86"/>
      <c r="S17" s="86"/>
      <c r="T17" s="86"/>
      <c r="U17" s="87"/>
      <c r="V17" s="74"/>
      <c r="W17" s="75" t="str">
        <f t="shared" si="1"/>
        <v/>
      </c>
      <c r="X17" s="76" t="str">
        <f t="shared" si="2"/>
        <v/>
      </c>
      <c r="Y17" s="21"/>
      <c r="Z17" s="29"/>
      <c r="AA17" s="51"/>
      <c r="AB17" s="51"/>
      <c r="AD17" s="21"/>
      <c r="AE17" s="21"/>
      <c r="AF17" s="21"/>
      <c r="AG17" s="21"/>
      <c r="AH17" s="3"/>
    </row>
    <row r="18" spans="2:34" s="23" customFormat="1" ht="90" customHeight="1" x14ac:dyDescent="0.3">
      <c r="B18" s="71"/>
      <c r="C18" s="71" t="s">
        <v>304</v>
      </c>
      <c r="D18" s="71" t="s">
        <v>305</v>
      </c>
      <c r="E18" s="71">
        <f>ROW(C18)-6</f>
        <v>12</v>
      </c>
      <c r="F18" s="71" t="s">
        <v>37</v>
      </c>
      <c r="G18" s="88" t="str">
        <f>IFERROR(VLOOKUP($C18,Tablas1!$B$3:$C$25,2,0),"ERROR")</f>
        <v>ERROR</v>
      </c>
      <c r="H18" s="89" t="str">
        <f>IFERROR(VLOOKUP(F18,Tablas1!$H$2:$I$10,2,0),"ERROR")</f>
        <v>FAC5</v>
      </c>
      <c r="I18" s="72" t="s">
        <v>308</v>
      </c>
      <c r="J18" s="73" t="s">
        <v>154</v>
      </c>
      <c r="K18" s="73" t="s">
        <v>154</v>
      </c>
      <c r="L18" s="73" t="s">
        <v>154</v>
      </c>
      <c r="M18" s="73" t="s">
        <v>154</v>
      </c>
      <c r="N18" s="72" t="s">
        <v>309</v>
      </c>
      <c r="O18" s="72" t="str">
        <f>VLOOKUP(CONCATENATE(IF(J18="X",1,0),IF(K18="X",2,0),IF(L18="X",3,0),IF(M18="X",4,0)),Puntuaciones!$I$15:$N$67,6,0)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18" s="70"/>
      <c r="Q18" s="86"/>
      <c r="R18" s="86"/>
      <c r="S18" s="86"/>
      <c r="T18" s="86"/>
      <c r="U18" s="87"/>
      <c r="V18" s="74"/>
      <c r="W18" s="75" t="str">
        <f t="shared" si="1"/>
        <v/>
      </c>
      <c r="X18" s="76" t="str">
        <f t="shared" si="2"/>
        <v/>
      </c>
      <c r="Y18" s="21"/>
      <c r="Z18" s="55"/>
      <c r="AA18" s="21"/>
      <c r="AD18" s="21"/>
      <c r="AE18" s="21"/>
      <c r="AF18" s="21"/>
      <c r="AG18" s="21"/>
      <c r="AH18" s="3"/>
    </row>
    <row r="19" spans="2:34" s="23" customFormat="1" ht="94.5" customHeight="1" x14ac:dyDescent="0.3">
      <c r="B19" s="71"/>
      <c r="C19" s="71" t="s">
        <v>304</v>
      </c>
      <c r="D19" s="71" t="s">
        <v>305</v>
      </c>
      <c r="E19" s="71">
        <f t="shared" ref="E19:E82" si="3">ROW(C19)-6</f>
        <v>13</v>
      </c>
      <c r="F19" s="71" t="s">
        <v>37</v>
      </c>
      <c r="G19" s="88" t="str">
        <f>IFERROR(VLOOKUP($C19,Tablas1!$B$3:$C$25,2,0),"ERROR")</f>
        <v>ERROR</v>
      </c>
      <c r="H19" s="89" t="str">
        <f>IFERROR(VLOOKUP(F19,Tablas1!$H$2:$I$10,2,0),"ERROR")</f>
        <v>FAC5</v>
      </c>
      <c r="I19" s="88" t="s">
        <v>310</v>
      </c>
      <c r="J19" s="73" t="s">
        <v>154</v>
      </c>
      <c r="K19" s="73" t="s">
        <v>154</v>
      </c>
      <c r="L19" s="73" t="s">
        <v>154</v>
      </c>
      <c r="M19" s="73" t="s">
        <v>154</v>
      </c>
      <c r="N19" s="72" t="s">
        <v>311</v>
      </c>
      <c r="O19" s="72" t="str">
        <f>VLOOKUP(CONCATENATE(IF(J19="X",1,0),IF(K19="X",2,0),IF(L19="X",3,0),IF(M19="X",4,0)),Puntuaciones!$I$15:$N$67,6,0)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19" s="70"/>
      <c r="Q19" s="86"/>
      <c r="R19" s="86"/>
      <c r="S19" s="86"/>
      <c r="T19" s="86"/>
      <c r="U19" s="87"/>
      <c r="V19" s="74"/>
      <c r="W19" s="75" t="str">
        <f t="shared" si="1"/>
        <v/>
      </c>
      <c r="X19" s="76" t="str">
        <f t="shared" si="2"/>
        <v/>
      </c>
      <c r="Y19" s="21"/>
      <c r="Z19" s="21"/>
      <c r="AA19" s="21"/>
      <c r="AD19" s="21"/>
      <c r="AE19" s="21"/>
      <c r="AF19" s="21"/>
      <c r="AG19" s="21"/>
      <c r="AH19" s="3"/>
    </row>
    <row r="20" spans="2:34" s="23" customFormat="1" ht="94.5" customHeight="1" x14ac:dyDescent="0.3">
      <c r="B20" s="71"/>
      <c r="C20" s="71" t="s">
        <v>304</v>
      </c>
      <c r="D20" s="71" t="s">
        <v>312</v>
      </c>
      <c r="E20" s="71">
        <f t="shared" si="3"/>
        <v>14</v>
      </c>
      <c r="F20" s="71" t="s">
        <v>37</v>
      </c>
      <c r="G20" s="88" t="str">
        <f>IFERROR(VLOOKUP($C20,Tablas1!$B$3:$C$25,2,0),"ERROR")</f>
        <v>ERROR</v>
      </c>
      <c r="H20" s="89" t="str">
        <f>IFERROR(VLOOKUP(F20,Tablas1!$H$2:$I$10,2,0),"ERROR")</f>
        <v>FAC5</v>
      </c>
      <c r="I20" s="88" t="s">
        <v>232</v>
      </c>
      <c r="J20" s="73" t="s">
        <v>154</v>
      </c>
      <c r="K20" s="73" t="s">
        <v>154</v>
      </c>
      <c r="L20" s="73" t="s">
        <v>154</v>
      </c>
      <c r="M20" s="73" t="s">
        <v>154</v>
      </c>
      <c r="N20" s="72" t="s">
        <v>311</v>
      </c>
      <c r="O20" s="72" t="str">
        <f>VLOOKUP(CONCATENATE(IF(J20="X",1,0),IF(K20="X",2,0),IF(L20="X",3,0),IF(M20="X",4,0)),Puntuaciones!$I$15:$N$67,6,0)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20" s="70"/>
      <c r="Q20" s="86"/>
      <c r="R20" s="86"/>
      <c r="S20" s="86"/>
      <c r="T20" s="86"/>
      <c r="U20" s="87"/>
      <c r="V20" s="74"/>
      <c r="W20" s="75" t="str">
        <f t="shared" si="1"/>
        <v/>
      </c>
      <c r="X20" s="76" t="str">
        <f t="shared" si="2"/>
        <v/>
      </c>
      <c r="Y20" s="21"/>
      <c r="Z20" s="21"/>
      <c r="AA20" s="21"/>
      <c r="AD20" s="21"/>
      <c r="AE20" s="21"/>
      <c r="AF20" s="21"/>
      <c r="AG20" s="21"/>
      <c r="AH20" s="3"/>
    </row>
    <row r="21" spans="2:34" s="23" customFormat="1" ht="94.5" customHeight="1" x14ac:dyDescent="0.3">
      <c r="B21" s="71"/>
      <c r="C21" s="71" t="s">
        <v>304</v>
      </c>
      <c r="D21" s="71" t="s">
        <v>312</v>
      </c>
      <c r="E21" s="71">
        <f t="shared" si="3"/>
        <v>15</v>
      </c>
      <c r="F21" s="71" t="s">
        <v>37</v>
      </c>
      <c r="G21" s="88" t="str">
        <f>IFERROR(VLOOKUP($C21,Tablas1!$B$3:$C$25,2,0),"ERROR")</f>
        <v>ERROR</v>
      </c>
      <c r="H21" s="89" t="str">
        <f>IFERROR(VLOOKUP(F21,Tablas1!$H$2:$I$10,2,0),"ERROR")</f>
        <v>FAC5</v>
      </c>
      <c r="I21" s="88" t="s">
        <v>313</v>
      </c>
      <c r="J21" s="73"/>
      <c r="K21" s="73"/>
      <c r="L21" s="73" t="s">
        <v>154</v>
      </c>
      <c r="M21" s="73" t="s">
        <v>154</v>
      </c>
      <c r="N21" s="72" t="s">
        <v>314</v>
      </c>
      <c r="O21" s="72" t="str">
        <f>VLOOKUP(CONCATENATE(IF(J21="X",1,0),IF(K21="X",2,0),IF(L21="X",3,0),IF(M21="X",4,0)),Puntuaciones!$I$15:$N$67,6,0)</f>
        <v xml:space="preserve">1. Sanciones por parte del supervisor, regulador y/o entes de control -Apertura de procesos disciplinarios, judiciales y/o legales.
2. Impacto negativo en la imagen institucional y/o pérdida de reputación.
</v>
      </c>
      <c r="P21" s="70"/>
      <c r="Q21" s="86"/>
      <c r="R21" s="86"/>
      <c r="S21" s="86"/>
      <c r="T21" s="86"/>
      <c r="U21" s="87"/>
      <c r="V21" s="74"/>
      <c r="W21" s="75" t="str">
        <f t="shared" si="1"/>
        <v/>
      </c>
      <c r="X21" s="76" t="str">
        <f t="shared" si="2"/>
        <v/>
      </c>
      <c r="Y21" s="21"/>
      <c r="Z21" s="21"/>
      <c r="AA21" s="21"/>
      <c r="AD21" s="21"/>
      <c r="AE21" s="21"/>
      <c r="AF21" s="21"/>
      <c r="AG21" s="21"/>
      <c r="AH21" s="3"/>
    </row>
    <row r="22" spans="2:34" s="23" customFormat="1" ht="94.5" customHeight="1" x14ac:dyDescent="0.3">
      <c r="B22" s="71"/>
      <c r="C22" s="71" t="s">
        <v>304</v>
      </c>
      <c r="D22" s="71" t="s">
        <v>305</v>
      </c>
      <c r="E22" s="71">
        <f t="shared" si="3"/>
        <v>16</v>
      </c>
      <c r="F22" s="71" t="s">
        <v>192</v>
      </c>
      <c r="G22" s="88" t="str">
        <f>IFERROR(VLOOKUP($C22,Tablas1!$B$3:$C$25,2,0),"ERROR")</f>
        <v>ERROR</v>
      </c>
      <c r="H22" s="89" t="str">
        <f>IFERROR(VLOOKUP(F22,Tablas1!$H$2:$I$10,2,0),"ERROR")</f>
        <v>ERROR</v>
      </c>
      <c r="I22" s="88" t="s">
        <v>315</v>
      </c>
      <c r="J22" s="73"/>
      <c r="K22" s="73" t="s">
        <v>154</v>
      </c>
      <c r="L22" s="73" t="s">
        <v>154</v>
      </c>
      <c r="M22" s="73" t="s">
        <v>154</v>
      </c>
      <c r="N22" s="72" t="s">
        <v>297</v>
      </c>
      <c r="O22" s="72" t="str">
        <f>VLOOKUP(CONCATENATE(IF(J22="X",1,0),IF(K22="X",2,0),IF(L22="X",3,0),IF(M22="X",4,0)),Puntuaciones!$I$15:$N$67,6,0)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22" s="70"/>
      <c r="Q22" s="86"/>
      <c r="R22" s="86"/>
      <c r="S22" s="86"/>
      <c r="T22" s="86"/>
      <c r="U22" s="87"/>
      <c r="V22" s="74"/>
      <c r="W22" s="75" t="str">
        <f t="shared" si="1"/>
        <v/>
      </c>
      <c r="X22" s="76" t="str">
        <f t="shared" si="2"/>
        <v/>
      </c>
      <c r="Y22" s="21"/>
      <c r="Z22" s="21"/>
      <c r="AA22" s="21"/>
      <c r="AD22" s="21"/>
      <c r="AE22" s="21"/>
      <c r="AF22" s="21"/>
      <c r="AG22" s="21"/>
      <c r="AH22" s="3"/>
    </row>
    <row r="23" spans="2:34" s="23" customFormat="1" ht="94.5" customHeight="1" x14ac:dyDescent="0.3">
      <c r="B23" s="71"/>
      <c r="C23" s="71" t="s">
        <v>304</v>
      </c>
      <c r="D23" s="71" t="s">
        <v>312</v>
      </c>
      <c r="E23" s="71">
        <f t="shared" si="3"/>
        <v>17</v>
      </c>
      <c r="F23" s="71" t="s">
        <v>192</v>
      </c>
      <c r="G23" s="88" t="str">
        <f>IFERROR(VLOOKUP($C23,Tablas1!$B$3:$C$25,2,0),"ERROR")</f>
        <v>ERROR</v>
      </c>
      <c r="H23" s="89" t="str">
        <f>IFERROR(VLOOKUP(F23,Tablas1!$H$2:$I$10,2,0),"ERROR")</f>
        <v>ERROR</v>
      </c>
      <c r="I23" s="88" t="s">
        <v>316</v>
      </c>
      <c r="J23" s="73"/>
      <c r="K23" s="73" t="s">
        <v>154</v>
      </c>
      <c r="L23" s="73" t="s">
        <v>154</v>
      </c>
      <c r="M23" s="73" t="s">
        <v>154</v>
      </c>
      <c r="N23" s="72" t="s">
        <v>317</v>
      </c>
      <c r="O23" s="72" t="str">
        <f>VLOOKUP(CONCATENATE(IF(J23="X",1,0),IF(K23="X",2,0),IF(L23="X",3,0),IF(M23="X",4,0)),Puntuaciones!$I$15:$N$67,6,0)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23" s="70"/>
      <c r="Q23" s="86"/>
      <c r="R23" s="86"/>
      <c r="S23" s="86"/>
      <c r="T23" s="86"/>
      <c r="U23" s="87"/>
      <c r="V23" s="74"/>
      <c r="W23" s="75"/>
      <c r="X23" s="76"/>
      <c r="Y23" s="21"/>
      <c r="Z23" s="21"/>
      <c r="AA23" s="21"/>
      <c r="AD23" s="21"/>
      <c r="AE23" s="21"/>
      <c r="AF23" s="21"/>
      <c r="AG23" s="21"/>
      <c r="AH23" s="3"/>
    </row>
    <row r="24" spans="2:34" s="23" customFormat="1" ht="94.5" customHeight="1" x14ac:dyDescent="0.3">
      <c r="B24" s="71"/>
      <c r="C24" s="71" t="s">
        <v>318</v>
      </c>
      <c r="D24" s="71" t="s">
        <v>318</v>
      </c>
      <c r="E24" s="71">
        <f t="shared" si="3"/>
        <v>18</v>
      </c>
      <c r="F24" s="71" t="s">
        <v>37</v>
      </c>
      <c r="G24" s="88" t="str">
        <f>IFERROR(VLOOKUP($C24,Tablas1!$B$3:$C$25,2,0),"ERROR")</f>
        <v>ERROR</v>
      </c>
      <c r="H24" s="89" t="str">
        <f>IFERROR(VLOOKUP(F24,Tablas1!$H$2:$I$10,2,0),"ERROR")</f>
        <v>FAC5</v>
      </c>
      <c r="I24" s="88" t="s">
        <v>319</v>
      </c>
      <c r="J24" s="73" t="s">
        <v>154</v>
      </c>
      <c r="K24" s="73" t="s">
        <v>154</v>
      </c>
      <c r="L24" s="73" t="s">
        <v>154</v>
      </c>
      <c r="M24" s="73" t="s">
        <v>154</v>
      </c>
      <c r="N24" s="72" t="s">
        <v>320</v>
      </c>
      <c r="O24" s="72" t="str">
        <f>VLOOKUP(CONCATENATE(IF(J24="X",1,0),IF(K24="X",2,0),IF(L24="X",3,0),IF(M24="X",4,0)),Puntuaciones!$I$15:$N$67,6,0)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24" s="70"/>
      <c r="Q24" s="86"/>
      <c r="R24" s="86"/>
      <c r="S24" s="86"/>
      <c r="T24" s="86"/>
      <c r="U24" s="87"/>
      <c r="V24" s="74"/>
      <c r="W24" s="75"/>
      <c r="X24" s="76"/>
      <c r="Y24" s="21"/>
      <c r="Z24" s="21"/>
      <c r="AA24" s="21"/>
      <c r="AD24" s="21"/>
      <c r="AE24" s="21"/>
      <c r="AF24" s="21"/>
      <c r="AG24" s="21"/>
      <c r="AH24" s="3"/>
    </row>
    <row r="25" spans="2:34" s="23" customFormat="1" ht="94.5" customHeight="1" x14ac:dyDescent="0.3">
      <c r="B25" s="71"/>
      <c r="C25" s="71" t="s">
        <v>318</v>
      </c>
      <c r="D25" s="71" t="s">
        <v>318</v>
      </c>
      <c r="E25" s="71">
        <f t="shared" si="3"/>
        <v>19</v>
      </c>
      <c r="F25" s="71" t="s">
        <v>184</v>
      </c>
      <c r="G25" s="88" t="str">
        <f>IFERROR(VLOOKUP($C25,Tablas1!$B$3:$C$25,2,0),"ERROR")</f>
        <v>ERROR</v>
      </c>
      <c r="H25" s="89" t="str">
        <f>IFERROR(VLOOKUP(F25,Tablas1!$H$2:$I$10,2,0),"ERROR")</f>
        <v>ERROR</v>
      </c>
      <c r="I25" s="88" t="s">
        <v>321</v>
      </c>
      <c r="J25" s="73" t="s">
        <v>154</v>
      </c>
      <c r="K25" s="73" t="s">
        <v>154</v>
      </c>
      <c r="L25" s="73" t="s">
        <v>154</v>
      </c>
      <c r="M25" s="73" t="s">
        <v>154</v>
      </c>
      <c r="N25" s="72" t="s">
        <v>322</v>
      </c>
      <c r="O25" s="72" t="str">
        <f>VLOOKUP(CONCATENATE(IF(J25="X",1,0),IF(K25="X",2,0),IF(L25="X",3,0),IF(M25="X",4,0)),Puntuaciones!$I$15:$N$67,6,0)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25" s="70"/>
      <c r="Q25" s="86"/>
      <c r="R25" s="86"/>
      <c r="S25" s="86"/>
      <c r="T25" s="86"/>
      <c r="U25" s="87"/>
      <c r="V25" s="74"/>
      <c r="W25" s="75"/>
      <c r="X25" s="76"/>
      <c r="Y25" s="21"/>
      <c r="Z25" s="21"/>
      <c r="AA25" s="21"/>
      <c r="AD25" s="21"/>
      <c r="AE25" s="21"/>
      <c r="AF25" s="21"/>
      <c r="AG25" s="21"/>
      <c r="AH25" s="3"/>
    </row>
    <row r="26" spans="2:34" s="23" customFormat="1" ht="94.5" customHeight="1" x14ac:dyDescent="0.3">
      <c r="B26" s="71"/>
      <c r="C26" s="71" t="s">
        <v>318</v>
      </c>
      <c r="D26" s="71" t="s">
        <v>318</v>
      </c>
      <c r="E26" s="71">
        <f t="shared" si="3"/>
        <v>20</v>
      </c>
      <c r="F26" s="71" t="s">
        <v>284</v>
      </c>
      <c r="G26" s="88" t="str">
        <f>IFERROR(VLOOKUP($C26,Tablas1!$B$3:$C$25,2,0),"ERROR")</f>
        <v>ERROR</v>
      </c>
      <c r="H26" s="89" t="str">
        <f>IFERROR(VLOOKUP(F26,Tablas1!$H$2:$I$10,2,0),"ERROR")</f>
        <v>ERROR</v>
      </c>
      <c r="I26" s="88" t="s">
        <v>323</v>
      </c>
      <c r="J26" s="73" t="s">
        <v>154</v>
      </c>
      <c r="K26" s="73" t="s">
        <v>154</v>
      </c>
      <c r="L26" s="73" t="s">
        <v>154</v>
      </c>
      <c r="M26" s="73" t="s">
        <v>154</v>
      </c>
      <c r="N26" s="72" t="s">
        <v>324</v>
      </c>
      <c r="O26" s="72" t="str">
        <f>VLOOKUP(CONCATENATE(IF(J26="X",1,0),IF(K26="X",2,0),IF(L26="X",3,0),IF(M26="X",4,0)),Puntuaciones!$I$15:$N$67,6,0)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26" s="70"/>
      <c r="Q26" s="86"/>
      <c r="R26" s="86"/>
      <c r="S26" s="86"/>
      <c r="T26" s="86"/>
      <c r="U26" s="87"/>
      <c r="V26" s="74"/>
      <c r="W26" s="75"/>
      <c r="X26" s="76"/>
      <c r="Y26" s="21"/>
      <c r="Z26" s="21"/>
      <c r="AA26" s="21"/>
      <c r="AD26" s="21"/>
      <c r="AE26" s="21"/>
      <c r="AF26" s="21"/>
      <c r="AG26" s="21"/>
      <c r="AH26" s="3"/>
    </row>
    <row r="27" spans="2:34" s="23" customFormat="1" ht="94.5" customHeight="1" x14ac:dyDescent="0.3">
      <c r="B27" s="71"/>
      <c r="C27" s="71" t="s">
        <v>318</v>
      </c>
      <c r="D27" s="71" t="s">
        <v>318</v>
      </c>
      <c r="E27" s="71">
        <f t="shared" si="3"/>
        <v>21</v>
      </c>
      <c r="F27" s="71" t="s">
        <v>188</v>
      </c>
      <c r="G27" s="88" t="str">
        <f>IFERROR(VLOOKUP($C27,Tablas1!$B$3:$C$25,2,0),"ERROR")</f>
        <v>ERROR</v>
      </c>
      <c r="H27" s="89" t="str">
        <f>IFERROR(VLOOKUP(F27,Tablas1!$H$2:$I$10,2,0),"ERROR")</f>
        <v>ERROR</v>
      </c>
      <c r="I27" s="88" t="s">
        <v>325</v>
      </c>
      <c r="J27" s="73" t="s">
        <v>154</v>
      </c>
      <c r="K27" s="73" t="s">
        <v>154</v>
      </c>
      <c r="L27" s="73" t="s">
        <v>154</v>
      </c>
      <c r="M27" s="73" t="s">
        <v>154</v>
      </c>
      <c r="N27" s="72" t="s">
        <v>326</v>
      </c>
      <c r="O27" s="72" t="str">
        <f>VLOOKUP(CONCATENATE(IF(J27="X",1,0),IF(K27="X",2,0),IF(L27="X",3,0),IF(M27="X",4,0)),Puntuaciones!$I$15:$N$67,6,0)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27" s="70"/>
      <c r="Q27" s="86"/>
      <c r="R27" s="86"/>
      <c r="S27" s="86"/>
      <c r="T27" s="86"/>
      <c r="U27" s="87"/>
      <c r="V27" s="74"/>
      <c r="W27" s="75"/>
      <c r="X27" s="76"/>
      <c r="Y27" s="21"/>
      <c r="Z27" s="21"/>
      <c r="AA27" s="21"/>
      <c r="AD27" s="21"/>
      <c r="AE27" s="21"/>
      <c r="AF27" s="21"/>
      <c r="AG27" s="21"/>
      <c r="AH27" s="3"/>
    </row>
    <row r="28" spans="2:34" s="21" customFormat="1" ht="94.5" customHeight="1" x14ac:dyDescent="0.3">
      <c r="B28" s="71"/>
      <c r="C28" s="71" t="s">
        <v>318</v>
      </c>
      <c r="D28" s="71" t="s">
        <v>318</v>
      </c>
      <c r="E28" s="71">
        <f t="shared" si="3"/>
        <v>22</v>
      </c>
      <c r="F28" s="71" t="s">
        <v>192</v>
      </c>
      <c r="G28" s="88" t="str">
        <f>IFERROR(VLOOKUP($C28,Tablas1!$B$3:$C$25,2,0),"ERROR")</f>
        <v>ERROR</v>
      </c>
      <c r="H28" s="89" t="str">
        <f>IFERROR(VLOOKUP(F28,Tablas1!$H$2:$I$10,2,0),"ERROR")</f>
        <v>ERROR</v>
      </c>
      <c r="I28" s="88" t="s">
        <v>193</v>
      </c>
      <c r="J28" s="73"/>
      <c r="K28" s="73" t="s">
        <v>154</v>
      </c>
      <c r="L28" s="73" t="s">
        <v>154</v>
      </c>
      <c r="M28" s="73" t="s">
        <v>154</v>
      </c>
      <c r="N28" s="72" t="s">
        <v>327</v>
      </c>
      <c r="O28" s="72" t="str">
        <f>VLOOKUP(CONCATENATE(IF(J28="X",1,0),IF(K28="X",2,0),IF(L28="X",3,0),IF(M28="X",4,0)),Puntuaciones!$I$15:$N$67,6,0)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28" s="70"/>
      <c r="Q28" s="86"/>
      <c r="R28" s="86"/>
      <c r="S28" s="86"/>
      <c r="T28" s="86"/>
      <c r="U28" s="87"/>
      <c r="V28" s="74"/>
      <c r="W28" s="75"/>
      <c r="X28" s="76"/>
      <c r="AB28" s="23"/>
      <c r="AC28" s="23"/>
      <c r="AH28" s="3"/>
    </row>
    <row r="29" spans="2:34" s="21" customFormat="1" ht="94.5" customHeight="1" x14ac:dyDescent="0.3">
      <c r="B29" s="71"/>
      <c r="C29" s="71" t="s">
        <v>318</v>
      </c>
      <c r="D29" s="71" t="s">
        <v>318</v>
      </c>
      <c r="E29" s="71">
        <f t="shared" si="3"/>
        <v>23</v>
      </c>
      <c r="F29" s="71" t="s">
        <v>289</v>
      </c>
      <c r="G29" s="88" t="str">
        <f>IFERROR(VLOOKUP($C29,Tablas1!$B$3:$C$25,2,0),"ERROR")</f>
        <v>ERROR</v>
      </c>
      <c r="H29" s="89" t="str">
        <f>IFERROR(VLOOKUP(F29,Tablas1!$H$2:$I$10,2,0),"ERROR")</f>
        <v>ERROR</v>
      </c>
      <c r="I29" s="88" t="s">
        <v>290</v>
      </c>
      <c r="J29" s="73"/>
      <c r="K29" s="73" t="s">
        <v>154</v>
      </c>
      <c r="L29" s="73" t="s">
        <v>154</v>
      </c>
      <c r="M29" s="73" t="s">
        <v>154</v>
      </c>
      <c r="N29" s="72" t="s">
        <v>291</v>
      </c>
      <c r="O29" s="72" t="str">
        <f>VLOOKUP(CONCATENATE(IF(J29="X",1,0),IF(K29="X",2,0),IF(L29="X",3,0),IF(M29="X",4,0)),Puntuaciones!$I$15:$N$67,6,0)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29" s="70"/>
      <c r="Q29" s="86"/>
      <c r="R29" s="86"/>
      <c r="S29" s="86"/>
      <c r="T29" s="86"/>
      <c r="U29" s="87"/>
      <c r="V29" s="74"/>
      <c r="W29" s="75"/>
      <c r="X29" s="76"/>
      <c r="AB29" s="23"/>
      <c r="AC29" s="23"/>
      <c r="AH29" s="3"/>
    </row>
    <row r="30" spans="2:34" s="21" customFormat="1" ht="94.5" customHeight="1" x14ac:dyDescent="0.3">
      <c r="B30" s="71"/>
      <c r="C30" s="71" t="s">
        <v>318</v>
      </c>
      <c r="D30" s="71" t="s">
        <v>318</v>
      </c>
      <c r="E30" s="71">
        <f t="shared" si="3"/>
        <v>24</v>
      </c>
      <c r="F30" s="71" t="s">
        <v>17</v>
      </c>
      <c r="G30" s="88" t="str">
        <f>IFERROR(VLOOKUP($C30,Tablas1!$B$3:$C$25,2,0),"ERROR")</f>
        <v>ERROR</v>
      </c>
      <c r="H30" s="89" t="str">
        <f>IFERROR(VLOOKUP(F30,Tablas1!$H$2:$I$10,2,0),"ERROR")</f>
        <v>FAC2</v>
      </c>
      <c r="I30" s="88" t="s">
        <v>292</v>
      </c>
      <c r="J30" s="73"/>
      <c r="K30" s="73" t="s">
        <v>154</v>
      </c>
      <c r="L30" s="73" t="s">
        <v>154</v>
      </c>
      <c r="M30" s="73" t="s">
        <v>154</v>
      </c>
      <c r="N30" s="72" t="s">
        <v>293</v>
      </c>
      <c r="O30" s="72" t="str">
        <f>VLOOKUP(CONCATENATE(IF(J30="X",1,0),IF(K30="X",2,0),IF(L30="X",3,0),IF(M30="X",4,0)),Puntuaciones!$I$15:$N$67,6,0)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30" s="70"/>
      <c r="Q30" s="86"/>
      <c r="R30" s="86"/>
      <c r="S30" s="86"/>
      <c r="T30" s="86"/>
      <c r="U30" s="87"/>
      <c r="V30" s="74"/>
      <c r="W30" s="75"/>
      <c r="X30" s="76"/>
      <c r="AB30" s="23"/>
      <c r="AC30" s="23"/>
      <c r="AH30" s="3"/>
    </row>
    <row r="31" spans="2:34" s="21" customFormat="1" ht="94.5" customHeight="1" x14ac:dyDescent="0.3">
      <c r="B31" s="71"/>
      <c r="C31" s="71" t="s">
        <v>328</v>
      </c>
      <c r="D31" s="71" t="s">
        <v>328</v>
      </c>
      <c r="E31" s="71">
        <f t="shared" si="3"/>
        <v>25</v>
      </c>
      <c r="F31" s="71" t="s">
        <v>17</v>
      </c>
      <c r="G31" s="88" t="str">
        <f>IFERROR(VLOOKUP($C31,Tablas1!$B$3:$C$25,2,0),"ERROR")</f>
        <v>ERROR</v>
      </c>
      <c r="H31" s="89" t="str">
        <f>IFERROR(VLOOKUP(F31,Tablas1!$H$2:$I$10,2,0),"ERROR")</f>
        <v>FAC2</v>
      </c>
      <c r="I31" s="88" t="s">
        <v>329</v>
      </c>
      <c r="J31" s="73" t="s">
        <v>154</v>
      </c>
      <c r="K31" s="73" t="s">
        <v>154</v>
      </c>
      <c r="L31" s="73" t="s">
        <v>154</v>
      </c>
      <c r="M31" s="73" t="s">
        <v>154</v>
      </c>
      <c r="N31" s="72" t="s">
        <v>330</v>
      </c>
      <c r="O31" s="72" t="str">
        <f>VLOOKUP(CONCATENATE(IF(J31="X",1,0),IF(K31="X",2,0),IF(L31="X",3,0),IF(M31="X",4,0)),Puntuaciones!$I$15:$N$67,6,0)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31" s="70"/>
      <c r="Q31" s="86"/>
      <c r="R31" s="86"/>
      <c r="S31" s="86"/>
      <c r="T31" s="86"/>
      <c r="U31" s="87"/>
      <c r="V31" s="74"/>
      <c r="W31" s="75"/>
      <c r="X31" s="76"/>
      <c r="AB31" s="23"/>
      <c r="AC31" s="23"/>
      <c r="AH31" s="3"/>
    </row>
    <row r="32" spans="2:34" s="21" customFormat="1" ht="94.5" customHeight="1" x14ac:dyDescent="0.3">
      <c r="B32" s="71"/>
      <c r="C32" s="71" t="s">
        <v>331</v>
      </c>
      <c r="D32" s="71" t="s">
        <v>331</v>
      </c>
      <c r="E32" s="71">
        <f t="shared" si="3"/>
        <v>26</v>
      </c>
      <c r="F32" s="71" t="s">
        <v>284</v>
      </c>
      <c r="G32" s="88" t="str">
        <f>IFERROR(VLOOKUP($C32,Tablas1!$B$3:$C$25,2,0),"ERROR")</f>
        <v>ERROR</v>
      </c>
      <c r="H32" s="89" t="str">
        <f>IFERROR(VLOOKUP(F32,Tablas1!$H$2:$I$10,2,0),"ERROR")</f>
        <v>ERROR</v>
      </c>
      <c r="I32" s="88" t="s">
        <v>332</v>
      </c>
      <c r="J32" s="73"/>
      <c r="K32" s="73" t="s">
        <v>154</v>
      </c>
      <c r="L32" s="73" t="s">
        <v>154</v>
      </c>
      <c r="M32" s="73" t="s">
        <v>154</v>
      </c>
      <c r="N32" s="72" t="s">
        <v>333</v>
      </c>
      <c r="O32" s="72" t="str">
        <f>VLOOKUP(CONCATENATE(IF(J32="X",1,0),IF(K32="X",2,0),IF(L32="X",3,0),IF(M32="X",4,0)),Puntuaciones!$I$15:$N$67,6,0)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32" s="70"/>
      <c r="Q32" s="86"/>
      <c r="R32" s="86"/>
      <c r="S32" s="86"/>
      <c r="T32" s="86"/>
      <c r="U32" s="87"/>
      <c r="V32" s="74"/>
      <c r="W32" s="75"/>
      <c r="X32" s="76"/>
      <c r="AB32" s="23"/>
      <c r="AC32" s="23"/>
      <c r="AH32" s="3"/>
    </row>
    <row r="33" spans="2:34" s="21" customFormat="1" ht="94.5" customHeight="1" x14ac:dyDescent="0.3">
      <c r="B33" s="71"/>
      <c r="C33" s="71" t="s">
        <v>331</v>
      </c>
      <c r="D33" s="71" t="s">
        <v>334</v>
      </c>
      <c r="E33" s="71">
        <f t="shared" si="3"/>
        <v>27</v>
      </c>
      <c r="F33" s="71" t="s">
        <v>37</v>
      </c>
      <c r="G33" s="88" t="str">
        <f>IFERROR(VLOOKUP($C33,Tablas1!$B$3:$C$25,2,0),"ERROR")</f>
        <v>ERROR</v>
      </c>
      <c r="H33" s="89" t="str">
        <f>IFERROR(VLOOKUP(F33,Tablas1!$H$2:$I$10,2,0),"ERROR")</f>
        <v>FAC5</v>
      </c>
      <c r="I33" s="88" t="s">
        <v>282</v>
      </c>
      <c r="J33" s="73"/>
      <c r="K33" s="73" t="s">
        <v>154</v>
      </c>
      <c r="L33" s="73" t="s">
        <v>154</v>
      </c>
      <c r="M33" s="73" t="s">
        <v>154</v>
      </c>
      <c r="N33" s="72" t="s">
        <v>335</v>
      </c>
      <c r="O33" s="72" t="str">
        <f>VLOOKUP(CONCATENATE(IF(J33="X",1,0),IF(K33="X",2,0),IF(L33="X",3,0),IF(M33="X",4,0)),Puntuaciones!$I$15:$N$67,6,0)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33" s="70"/>
      <c r="Q33" s="86"/>
      <c r="R33" s="86"/>
      <c r="S33" s="86"/>
      <c r="T33" s="86"/>
      <c r="U33" s="87"/>
      <c r="V33" s="74"/>
      <c r="W33" s="75"/>
      <c r="X33" s="76"/>
      <c r="AB33" s="23"/>
      <c r="AC33" s="23"/>
      <c r="AH33" s="3"/>
    </row>
    <row r="34" spans="2:34" s="21" customFormat="1" ht="94.5" customHeight="1" x14ac:dyDescent="0.3">
      <c r="B34" s="71"/>
      <c r="C34" s="71" t="s">
        <v>331</v>
      </c>
      <c r="D34" s="71" t="s">
        <v>334</v>
      </c>
      <c r="E34" s="71">
        <f t="shared" si="3"/>
        <v>28</v>
      </c>
      <c r="F34" s="71" t="s">
        <v>37</v>
      </c>
      <c r="G34" s="88" t="str">
        <f>IFERROR(VLOOKUP($C34,Tablas1!$B$3:$C$25,2,0),"ERROR")</f>
        <v>ERROR</v>
      </c>
      <c r="H34" s="89" t="str">
        <f>IFERROR(VLOOKUP(F34,Tablas1!$H$2:$I$10,2,0),"ERROR")</f>
        <v>FAC5</v>
      </c>
      <c r="I34" s="88" t="s">
        <v>336</v>
      </c>
      <c r="J34" s="73" t="s">
        <v>154</v>
      </c>
      <c r="K34" s="73" t="s">
        <v>154</v>
      </c>
      <c r="L34" s="73" t="s">
        <v>154</v>
      </c>
      <c r="M34" s="73" t="s">
        <v>154</v>
      </c>
      <c r="N34" s="72" t="s">
        <v>337</v>
      </c>
      <c r="O34" s="72" t="str">
        <f>VLOOKUP(CONCATENATE(IF(J34="X",1,0),IF(K34="X",2,0),IF(L34="X",3,0),IF(M34="X",4,0)),Puntuaciones!$I$15:$N$67,6,0)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34" s="70"/>
      <c r="Q34" s="86"/>
      <c r="R34" s="86"/>
      <c r="S34" s="86"/>
      <c r="T34" s="86"/>
      <c r="U34" s="87"/>
      <c r="V34" s="74"/>
      <c r="W34" s="75"/>
      <c r="X34" s="76"/>
      <c r="AB34" s="23"/>
      <c r="AC34" s="23"/>
      <c r="AH34" s="3"/>
    </row>
    <row r="35" spans="2:34" s="21" customFormat="1" ht="94.5" customHeight="1" x14ac:dyDescent="0.3">
      <c r="B35" s="71"/>
      <c r="C35" s="71" t="s">
        <v>331</v>
      </c>
      <c r="D35" s="71" t="s">
        <v>334</v>
      </c>
      <c r="E35" s="71">
        <f t="shared" si="3"/>
        <v>29</v>
      </c>
      <c r="F35" s="71" t="s">
        <v>37</v>
      </c>
      <c r="G35" s="88" t="str">
        <f>IFERROR(VLOOKUP($C35,Tablas1!$B$3:$C$25,2,0),"ERROR")</f>
        <v>ERROR</v>
      </c>
      <c r="H35" s="89" t="str">
        <f>IFERROR(VLOOKUP(F35,Tablas1!$H$2:$I$10,2,0),"ERROR")</f>
        <v>FAC5</v>
      </c>
      <c r="I35" s="88" t="s">
        <v>338</v>
      </c>
      <c r="J35" s="73" t="s">
        <v>154</v>
      </c>
      <c r="K35" s="73" t="s">
        <v>154</v>
      </c>
      <c r="L35" s="73" t="s">
        <v>154</v>
      </c>
      <c r="M35" s="73" t="s">
        <v>154</v>
      </c>
      <c r="N35" s="72" t="s">
        <v>337</v>
      </c>
      <c r="O35" s="72" t="str">
        <f>VLOOKUP(CONCATENATE(IF(J35="X",1,0),IF(K35="X",2,0),IF(L35="X",3,0),IF(M35="X",4,0)),Puntuaciones!$I$15:$N$67,6,0)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35" s="70"/>
      <c r="Q35" s="86"/>
      <c r="R35" s="86"/>
      <c r="S35" s="86"/>
      <c r="T35" s="86"/>
      <c r="U35" s="87"/>
      <c r="V35" s="74"/>
      <c r="W35" s="75"/>
      <c r="X35" s="76"/>
      <c r="AB35" s="23"/>
      <c r="AC35" s="23"/>
      <c r="AH35" s="3"/>
    </row>
    <row r="36" spans="2:34" s="21" customFormat="1" ht="94.5" customHeight="1" x14ac:dyDescent="0.3">
      <c r="B36" s="71"/>
      <c r="C36" s="71" t="s">
        <v>331</v>
      </c>
      <c r="D36" s="71" t="s">
        <v>334</v>
      </c>
      <c r="E36" s="71">
        <f t="shared" si="3"/>
        <v>30</v>
      </c>
      <c r="F36" s="71" t="s">
        <v>37</v>
      </c>
      <c r="G36" s="88" t="str">
        <f>IFERROR(VLOOKUP($C36,Tablas1!$B$3:$C$25,2,0),"ERROR")</f>
        <v>ERROR</v>
      </c>
      <c r="H36" s="89" t="str">
        <f>IFERROR(VLOOKUP(F36,Tablas1!$H$2:$I$10,2,0),"ERROR")</f>
        <v>FAC5</v>
      </c>
      <c r="I36" s="88" t="s">
        <v>339</v>
      </c>
      <c r="J36" s="73" t="s">
        <v>154</v>
      </c>
      <c r="K36" s="73" t="s">
        <v>154</v>
      </c>
      <c r="L36" s="73" t="s">
        <v>154</v>
      </c>
      <c r="M36" s="73" t="s">
        <v>154</v>
      </c>
      <c r="N36" s="72" t="s">
        <v>340</v>
      </c>
      <c r="O36" s="72" t="str">
        <f>VLOOKUP(CONCATENATE(IF(J36="X",1,0),IF(K36="X",2,0),IF(L36="X",3,0),IF(M36="X",4,0)),Puntuaciones!$I$15:$N$67,6,0)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36" s="70"/>
      <c r="Q36" s="86"/>
      <c r="R36" s="86"/>
      <c r="S36" s="86"/>
      <c r="T36" s="86"/>
      <c r="U36" s="87"/>
      <c r="V36" s="74"/>
      <c r="W36" s="75"/>
      <c r="X36" s="76"/>
      <c r="AB36" s="23"/>
      <c r="AC36" s="23"/>
      <c r="AH36" s="3"/>
    </row>
    <row r="37" spans="2:34" s="21" customFormat="1" ht="94.5" customHeight="1" x14ac:dyDescent="0.3">
      <c r="B37" s="71"/>
      <c r="C37" s="71" t="s">
        <v>331</v>
      </c>
      <c r="D37" s="71" t="s">
        <v>334</v>
      </c>
      <c r="E37" s="71">
        <f t="shared" si="3"/>
        <v>31</v>
      </c>
      <c r="F37" s="71" t="s">
        <v>37</v>
      </c>
      <c r="G37" s="88" t="str">
        <f>IFERROR(VLOOKUP($C37,Tablas1!$B$3:$C$25,2,0),"ERROR")</f>
        <v>ERROR</v>
      </c>
      <c r="H37" s="89" t="str">
        <f>IFERROR(VLOOKUP(F37,Tablas1!$H$2:$I$10,2,0),"ERROR")</f>
        <v>FAC5</v>
      </c>
      <c r="I37" s="88" t="s">
        <v>341</v>
      </c>
      <c r="J37" s="73" t="s">
        <v>154</v>
      </c>
      <c r="K37" s="73" t="s">
        <v>154</v>
      </c>
      <c r="L37" s="73" t="s">
        <v>154</v>
      </c>
      <c r="M37" s="73" t="s">
        <v>154</v>
      </c>
      <c r="N37" s="72" t="s">
        <v>337</v>
      </c>
      <c r="O37" s="72" t="str">
        <f>VLOOKUP(CONCATENATE(IF(J37="X",1,0),IF(K37="X",2,0),IF(L37="X",3,0),IF(M37="X",4,0)),Puntuaciones!$I$15:$N$67,6,0)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37" s="70"/>
      <c r="Q37" s="86"/>
      <c r="R37" s="86"/>
      <c r="S37" s="86"/>
      <c r="T37" s="86"/>
      <c r="U37" s="87"/>
      <c r="V37" s="74"/>
      <c r="W37" s="75"/>
      <c r="X37" s="76"/>
      <c r="AB37" s="23"/>
      <c r="AC37" s="23"/>
      <c r="AH37" s="3"/>
    </row>
    <row r="38" spans="2:34" s="21" customFormat="1" ht="94.5" customHeight="1" x14ac:dyDescent="0.3">
      <c r="B38" s="71"/>
      <c r="C38" s="71" t="s">
        <v>331</v>
      </c>
      <c r="D38" s="71" t="s">
        <v>334</v>
      </c>
      <c r="E38" s="71">
        <f t="shared" si="3"/>
        <v>32</v>
      </c>
      <c r="F38" s="71" t="s">
        <v>37</v>
      </c>
      <c r="G38" s="88" t="str">
        <f>IFERROR(VLOOKUP($C38,Tablas1!$B$3:$C$25,2,0),"ERROR")</f>
        <v>ERROR</v>
      </c>
      <c r="H38" s="89" t="str">
        <f>IFERROR(VLOOKUP(F38,Tablas1!$H$2:$I$10,2,0),"ERROR")</f>
        <v>FAC5</v>
      </c>
      <c r="I38" s="72" t="s">
        <v>342</v>
      </c>
      <c r="J38" s="73" t="s">
        <v>154</v>
      </c>
      <c r="K38" s="73" t="s">
        <v>154</v>
      </c>
      <c r="L38" s="73" t="s">
        <v>154</v>
      </c>
      <c r="M38" s="73" t="s">
        <v>154</v>
      </c>
      <c r="N38" s="72" t="s">
        <v>343</v>
      </c>
      <c r="O38" s="72" t="str">
        <f>VLOOKUP(CONCATENATE(IF(J38="X",1,0),IF(K38="X",2,0),IF(L38="X",3,0),IF(M38="X",4,0)),Puntuaciones!$I$15:$N$67,6,0)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38" s="70"/>
      <c r="Q38" s="86"/>
      <c r="R38" s="86"/>
      <c r="S38" s="86"/>
      <c r="T38" s="86"/>
      <c r="U38" s="87"/>
      <c r="V38" s="74"/>
      <c r="W38" s="75"/>
      <c r="X38" s="76"/>
      <c r="AB38" s="23"/>
      <c r="AC38" s="23"/>
      <c r="AH38" s="3"/>
    </row>
    <row r="39" spans="2:34" s="21" customFormat="1" ht="94.5" customHeight="1" x14ac:dyDescent="0.3">
      <c r="B39" s="71"/>
      <c r="C39" s="71" t="s">
        <v>331</v>
      </c>
      <c r="D39" s="71" t="s">
        <v>334</v>
      </c>
      <c r="E39" s="71">
        <f t="shared" si="3"/>
        <v>33</v>
      </c>
      <c r="F39" s="71" t="s">
        <v>37</v>
      </c>
      <c r="G39" s="88" t="str">
        <f>IFERROR(VLOOKUP($C39,Tablas1!$B$3:$C$25,2,0),"ERROR")</f>
        <v>ERROR</v>
      </c>
      <c r="H39" s="89" t="str">
        <f>IFERROR(VLOOKUP(F39,Tablas1!$H$2:$I$10,2,0),"ERROR")</f>
        <v>FAC5</v>
      </c>
      <c r="I39" s="72" t="s">
        <v>344</v>
      </c>
      <c r="J39" s="73" t="s">
        <v>154</v>
      </c>
      <c r="K39" s="73" t="s">
        <v>154</v>
      </c>
      <c r="L39" s="73" t="s">
        <v>154</v>
      </c>
      <c r="M39" s="73" t="s">
        <v>154</v>
      </c>
      <c r="N39" s="72" t="s">
        <v>343</v>
      </c>
      <c r="O39" s="72" t="str">
        <f>VLOOKUP(CONCATENATE(IF(J39="X",1,0),IF(K39="X",2,0),IF(L39="X",3,0),IF(M39="X",4,0)),Puntuaciones!$I$15:$N$67,6,0)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39" s="70"/>
      <c r="Q39" s="86"/>
      <c r="R39" s="86"/>
      <c r="S39" s="86"/>
      <c r="T39" s="86"/>
      <c r="U39" s="87"/>
      <c r="V39" s="74"/>
      <c r="W39" s="75"/>
      <c r="X39" s="76"/>
      <c r="AB39" s="23"/>
      <c r="AC39" s="23"/>
      <c r="AH39" s="3"/>
    </row>
    <row r="40" spans="2:34" s="21" customFormat="1" ht="94.5" customHeight="1" x14ac:dyDescent="0.3">
      <c r="B40" s="71"/>
      <c r="C40" s="71" t="s">
        <v>331</v>
      </c>
      <c r="D40" s="71" t="s">
        <v>334</v>
      </c>
      <c r="E40" s="71">
        <f t="shared" si="3"/>
        <v>34</v>
      </c>
      <c r="F40" s="71" t="s">
        <v>37</v>
      </c>
      <c r="G40" s="88" t="str">
        <f>IFERROR(VLOOKUP($C40,Tablas1!$B$3:$C$25,2,0),"ERROR")</f>
        <v>ERROR</v>
      </c>
      <c r="H40" s="89" t="str">
        <f>IFERROR(VLOOKUP(F40,Tablas1!$H$2:$I$10,2,0),"ERROR")</f>
        <v>FAC5</v>
      </c>
      <c r="I40" s="88" t="s">
        <v>345</v>
      </c>
      <c r="J40" s="73" t="s">
        <v>154</v>
      </c>
      <c r="K40" s="73" t="s">
        <v>154</v>
      </c>
      <c r="L40" s="73" t="s">
        <v>154</v>
      </c>
      <c r="M40" s="73" t="s">
        <v>154</v>
      </c>
      <c r="N40" s="72" t="s">
        <v>300</v>
      </c>
      <c r="O40" s="72" t="str">
        <f>VLOOKUP(CONCATENATE(IF(J40="X",1,0),IF(K40="X",2,0),IF(L40="X",3,0),IF(M40="X",4,0)),Puntuaciones!$I$15:$N$67,6,0)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40" s="70"/>
      <c r="Q40" s="86"/>
      <c r="R40" s="86"/>
      <c r="S40" s="86"/>
      <c r="T40" s="86"/>
      <c r="U40" s="87"/>
      <c r="V40" s="74"/>
      <c r="W40" s="75"/>
      <c r="X40" s="76"/>
      <c r="AB40" s="23"/>
      <c r="AC40" s="23"/>
      <c r="AH40" s="3"/>
    </row>
    <row r="41" spans="2:34" s="21" customFormat="1" ht="94.5" customHeight="1" x14ac:dyDescent="0.3">
      <c r="B41" s="71"/>
      <c r="C41" s="71" t="s">
        <v>331</v>
      </c>
      <c r="D41" s="71" t="s">
        <v>334</v>
      </c>
      <c r="E41" s="71">
        <f t="shared" si="3"/>
        <v>35</v>
      </c>
      <c r="F41" s="71" t="s">
        <v>37</v>
      </c>
      <c r="G41" s="88" t="str">
        <f>IFERROR(VLOOKUP($C41,Tablas1!$B$3:$C$25,2,0),"ERROR")</f>
        <v>ERROR</v>
      </c>
      <c r="H41" s="89" t="str">
        <f>IFERROR(VLOOKUP(F41,Tablas1!$H$2:$I$10,2,0),"ERROR")</f>
        <v>FAC5</v>
      </c>
      <c r="I41" s="88" t="s">
        <v>346</v>
      </c>
      <c r="J41" s="73" t="s">
        <v>154</v>
      </c>
      <c r="K41" s="73" t="s">
        <v>154</v>
      </c>
      <c r="L41" s="73" t="s">
        <v>154</v>
      </c>
      <c r="M41" s="73" t="s">
        <v>154</v>
      </c>
      <c r="N41" s="72" t="s">
        <v>337</v>
      </c>
      <c r="O41" s="72" t="str">
        <f>VLOOKUP(CONCATENATE(IF(J41="X",1,0),IF(K41="X",2,0),IF(L41="X",3,0),IF(M41="X",4,0)),Puntuaciones!$I$15:$N$67,6,0)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41" s="70"/>
      <c r="Q41" s="86"/>
      <c r="R41" s="86"/>
      <c r="S41" s="86"/>
      <c r="T41" s="86"/>
      <c r="U41" s="87"/>
      <c r="V41" s="74"/>
      <c r="W41" s="75"/>
      <c r="X41" s="76"/>
      <c r="AB41" s="23"/>
      <c r="AC41" s="23"/>
      <c r="AH41" s="3"/>
    </row>
    <row r="42" spans="2:34" s="21" customFormat="1" ht="94.5" customHeight="1" x14ac:dyDescent="0.3">
      <c r="B42" s="71"/>
      <c r="C42" s="71" t="s">
        <v>331</v>
      </c>
      <c r="D42" s="71" t="s">
        <v>334</v>
      </c>
      <c r="E42" s="71">
        <f t="shared" si="3"/>
        <v>36</v>
      </c>
      <c r="F42" s="71" t="s">
        <v>37</v>
      </c>
      <c r="G42" s="88" t="str">
        <f>IFERROR(VLOOKUP($C42,Tablas1!$B$3:$C$25,2,0),"ERROR")</f>
        <v>ERROR</v>
      </c>
      <c r="H42" s="89" t="str">
        <f>IFERROR(VLOOKUP(F42,Tablas1!$H$2:$I$10,2,0),"ERROR")</f>
        <v>FAC5</v>
      </c>
      <c r="I42" s="88" t="s">
        <v>347</v>
      </c>
      <c r="J42" s="73" t="s">
        <v>154</v>
      </c>
      <c r="K42" s="73" t="s">
        <v>154</v>
      </c>
      <c r="L42" s="73" t="s">
        <v>154</v>
      </c>
      <c r="M42" s="73" t="s">
        <v>154</v>
      </c>
      <c r="N42" s="72" t="s">
        <v>340</v>
      </c>
      <c r="O42" s="72" t="str">
        <f>VLOOKUP(CONCATENATE(IF(J42="X",1,0),IF(K42="X",2,0),IF(L42="X",3,0),IF(M42="X",4,0)),Puntuaciones!$I$15:$N$67,6,0)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42" s="70"/>
      <c r="Q42" s="86"/>
      <c r="R42" s="86"/>
      <c r="S42" s="86"/>
      <c r="T42" s="86"/>
      <c r="U42" s="87"/>
      <c r="V42" s="74"/>
      <c r="W42" s="75"/>
      <c r="X42" s="76"/>
      <c r="AB42" s="23"/>
      <c r="AC42" s="23"/>
      <c r="AH42" s="3"/>
    </row>
    <row r="43" spans="2:34" s="21" customFormat="1" ht="94.5" customHeight="1" x14ac:dyDescent="0.3">
      <c r="B43" s="71"/>
      <c r="C43" s="71" t="s">
        <v>331</v>
      </c>
      <c r="D43" s="71" t="s">
        <v>348</v>
      </c>
      <c r="E43" s="71">
        <f t="shared" si="3"/>
        <v>37</v>
      </c>
      <c r="F43" s="71" t="s">
        <v>184</v>
      </c>
      <c r="G43" s="88" t="str">
        <f>IFERROR(VLOOKUP($C43,Tablas1!$B$3:$C$25,2,0),"ERROR")</f>
        <v>ERROR</v>
      </c>
      <c r="H43" s="89" t="str">
        <f>IFERROR(VLOOKUP(F43,Tablas1!$H$2:$I$10,2,0),"ERROR")</f>
        <v>ERROR</v>
      </c>
      <c r="I43" s="88" t="s">
        <v>349</v>
      </c>
      <c r="J43" s="73" t="s">
        <v>154</v>
      </c>
      <c r="K43" s="73" t="s">
        <v>154</v>
      </c>
      <c r="L43" s="73" t="s">
        <v>154</v>
      </c>
      <c r="M43" s="73" t="s">
        <v>154</v>
      </c>
      <c r="N43" s="72" t="s">
        <v>350</v>
      </c>
      <c r="O43" s="72" t="str">
        <f>VLOOKUP(CONCATENATE(IF(J43="X",1,0),IF(K43="X",2,0),IF(L43="X",3,0),IF(M43="X",4,0)),Puntuaciones!$I$15:$N$67,6,0)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43" s="70"/>
      <c r="Q43" s="86"/>
      <c r="R43" s="86"/>
      <c r="S43" s="86"/>
      <c r="T43" s="86"/>
      <c r="U43" s="87"/>
      <c r="V43" s="74"/>
      <c r="W43" s="75"/>
      <c r="X43" s="76"/>
      <c r="AB43" s="23"/>
      <c r="AC43" s="23"/>
      <c r="AH43" s="3"/>
    </row>
    <row r="44" spans="2:34" s="21" customFormat="1" ht="94.5" customHeight="1" x14ac:dyDescent="0.3">
      <c r="B44" s="71"/>
      <c r="C44" s="71" t="s">
        <v>351</v>
      </c>
      <c r="D44" s="71" t="s">
        <v>352</v>
      </c>
      <c r="E44" s="71">
        <f t="shared" si="3"/>
        <v>38</v>
      </c>
      <c r="F44" s="71" t="s">
        <v>284</v>
      </c>
      <c r="G44" s="88" t="str">
        <f>IFERROR(VLOOKUP($C44,Tablas1!$B$3:$C$25,2,0),"ERROR")</f>
        <v>ERROR</v>
      </c>
      <c r="H44" s="89" t="str">
        <f>IFERROR(VLOOKUP(F44,Tablas1!$H$2:$I$10,2,0),"ERROR")</f>
        <v>ERROR</v>
      </c>
      <c r="I44" s="88" t="s">
        <v>353</v>
      </c>
      <c r="J44" s="73" t="s">
        <v>154</v>
      </c>
      <c r="K44" s="73" t="s">
        <v>154</v>
      </c>
      <c r="L44" s="73" t="s">
        <v>154</v>
      </c>
      <c r="M44" s="73" t="s">
        <v>154</v>
      </c>
      <c r="N44" s="72" t="s">
        <v>354</v>
      </c>
      <c r="O44" s="72" t="str">
        <f>VLOOKUP(CONCATENATE(IF(J44="X",1,0),IF(K44="X",2,0),IF(L44="X",3,0),IF(M44="X",4,0)),Puntuaciones!$I$15:$N$67,6,0)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44" s="70"/>
      <c r="Q44" s="86"/>
      <c r="R44" s="86"/>
      <c r="S44" s="86"/>
      <c r="T44" s="86"/>
      <c r="U44" s="87"/>
      <c r="V44" s="74"/>
      <c r="W44" s="75"/>
      <c r="X44" s="76"/>
      <c r="AB44" s="23"/>
      <c r="AC44" s="23"/>
      <c r="AH44" s="3"/>
    </row>
    <row r="45" spans="2:34" s="21" customFormat="1" ht="94.5" customHeight="1" x14ac:dyDescent="0.3">
      <c r="B45" s="71"/>
      <c r="C45" s="71" t="s">
        <v>351</v>
      </c>
      <c r="D45" s="71" t="s">
        <v>352</v>
      </c>
      <c r="E45" s="71">
        <f t="shared" si="3"/>
        <v>39</v>
      </c>
      <c r="F45" s="71" t="s">
        <v>284</v>
      </c>
      <c r="G45" s="88" t="str">
        <f>IFERROR(VLOOKUP($C45,Tablas1!$B$3:$C$25,2,0),"ERROR")</f>
        <v>ERROR</v>
      </c>
      <c r="H45" s="89" t="str">
        <f>IFERROR(VLOOKUP(F45,Tablas1!$H$2:$I$10,2,0),"ERROR")</f>
        <v>ERROR</v>
      </c>
      <c r="I45" s="88" t="s">
        <v>355</v>
      </c>
      <c r="J45" s="73" t="s">
        <v>154</v>
      </c>
      <c r="K45" s="73" t="s">
        <v>154</v>
      </c>
      <c r="L45" s="73" t="s">
        <v>154</v>
      </c>
      <c r="M45" s="73" t="s">
        <v>154</v>
      </c>
      <c r="N45" s="72" t="s">
        <v>354</v>
      </c>
      <c r="O45" s="72" t="str">
        <f>VLOOKUP(CONCATENATE(IF(J45="X",1,0),IF(K45="X",2,0),IF(L45="X",3,0),IF(M45="X",4,0)),Puntuaciones!$I$15:$N$67,6,0)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45" s="70"/>
      <c r="Q45" s="86"/>
      <c r="R45" s="86"/>
      <c r="S45" s="86"/>
      <c r="T45" s="86"/>
      <c r="U45" s="87"/>
      <c r="V45" s="74"/>
      <c r="W45" s="75"/>
      <c r="X45" s="76"/>
      <c r="AB45" s="23"/>
      <c r="AC45" s="23"/>
      <c r="AH45" s="3"/>
    </row>
    <row r="46" spans="2:34" s="21" customFormat="1" ht="94.5" customHeight="1" x14ac:dyDescent="0.3">
      <c r="B46" s="71"/>
      <c r="C46" s="71" t="s">
        <v>351</v>
      </c>
      <c r="D46" s="71" t="s">
        <v>352</v>
      </c>
      <c r="E46" s="71">
        <f t="shared" si="3"/>
        <v>40</v>
      </c>
      <c r="F46" s="71" t="s">
        <v>284</v>
      </c>
      <c r="G46" s="88" t="str">
        <f>IFERROR(VLOOKUP($C46,Tablas1!$B$3:$C$25,2,0),"ERROR")</f>
        <v>ERROR</v>
      </c>
      <c r="H46" s="89" t="str">
        <f>IFERROR(VLOOKUP(F46,Tablas1!$H$2:$I$10,2,0),"ERROR")</f>
        <v>ERROR</v>
      </c>
      <c r="I46" s="88" t="s">
        <v>356</v>
      </c>
      <c r="J46" s="73" t="s">
        <v>154</v>
      </c>
      <c r="K46" s="73" t="s">
        <v>154</v>
      </c>
      <c r="L46" s="73" t="s">
        <v>154</v>
      </c>
      <c r="M46" s="73" t="s">
        <v>154</v>
      </c>
      <c r="N46" s="72" t="s">
        <v>357</v>
      </c>
      <c r="O46" s="72" t="str">
        <f>VLOOKUP(CONCATENATE(IF(J46="X",1,0),IF(K46="X",2,0),IF(L46="X",3,0),IF(M46="X",4,0)),Puntuaciones!$I$15:$N$67,6,0)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46" s="70"/>
      <c r="Q46" s="86"/>
      <c r="R46" s="86"/>
      <c r="S46" s="86"/>
      <c r="T46" s="86"/>
      <c r="U46" s="87"/>
      <c r="V46" s="74"/>
      <c r="W46" s="75"/>
      <c r="X46" s="76"/>
      <c r="AB46" s="23"/>
      <c r="AC46" s="23"/>
      <c r="AH46" s="3"/>
    </row>
    <row r="47" spans="2:34" s="21" customFormat="1" ht="94.5" customHeight="1" x14ac:dyDescent="0.3">
      <c r="B47" s="71"/>
      <c r="C47" s="71" t="s">
        <v>351</v>
      </c>
      <c r="D47" s="71" t="s">
        <v>352</v>
      </c>
      <c r="E47" s="71">
        <f t="shared" si="3"/>
        <v>41</v>
      </c>
      <c r="F47" s="71" t="s">
        <v>284</v>
      </c>
      <c r="G47" s="88" t="str">
        <f>IFERROR(VLOOKUP($C47,Tablas1!$B$3:$C$25,2,0),"ERROR")</f>
        <v>ERROR</v>
      </c>
      <c r="H47" s="89" t="str">
        <f>IFERROR(VLOOKUP(F47,Tablas1!$H$2:$I$10,2,0),"ERROR")</f>
        <v>ERROR</v>
      </c>
      <c r="I47" s="88" t="s">
        <v>358</v>
      </c>
      <c r="J47" s="73" t="s">
        <v>154</v>
      </c>
      <c r="K47" s="73" t="s">
        <v>154</v>
      </c>
      <c r="L47" s="73" t="s">
        <v>154</v>
      </c>
      <c r="M47" s="73" t="s">
        <v>154</v>
      </c>
      <c r="N47" s="72" t="s">
        <v>354</v>
      </c>
      <c r="O47" s="72" t="str">
        <f>VLOOKUP(CONCATENATE(IF(J47="X",1,0),IF(K47="X",2,0),IF(L47="X",3,0),IF(M47="X",4,0)),Puntuaciones!$I$15:$N$67,6,0)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47" s="70"/>
      <c r="Q47" s="86"/>
      <c r="R47" s="86"/>
      <c r="S47" s="86"/>
      <c r="T47" s="86"/>
      <c r="U47" s="87"/>
      <c r="V47" s="74"/>
      <c r="W47" s="75"/>
      <c r="X47" s="76"/>
      <c r="AB47" s="23"/>
      <c r="AC47" s="23"/>
      <c r="AH47" s="3"/>
    </row>
    <row r="48" spans="2:34" s="21" customFormat="1" ht="94.5" customHeight="1" x14ac:dyDescent="0.3">
      <c r="B48" s="71"/>
      <c r="C48" s="71" t="s">
        <v>351</v>
      </c>
      <c r="D48" s="71" t="s">
        <v>352</v>
      </c>
      <c r="E48" s="71">
        <f t="shared" si="3"/>
        <v>42</v>
      </c>
      <c r="F48" s="71" t="s">
        <v>284</v>
      </c>
      <c r="G48" s="88" t="str">
        <f>IFERROR(VLOOKUP($C48,Tablas1!$B$3:$C$25,2,0),"ERROR")</f>
        <v>ERROR</v>
      </c>
      <c r="H48" s="89" t="str">
        <f>IFERROR(VLOOKUP(F48,Tablas1!$H$2:$I$10,2,0),"ERROR")</f>
        <v>ERROR</v>
      </c>
      <c r="I48" s="88" t="s">
        <v>359</v>
      </c>
      <c r="J48" s="73" t="s">
        <v>154</v>
      </c>
      <c r="K48" s="73" t="s">
        <v>154</v>
      </c>
      <c r="L48" s="73" t="s">
        <v>154</v>
      </c>
      <c r="M48" s="73" t="s">
        <v>154</v>
      </c>
      <c r="N48" s="72" t="s">
        <v>357</v>
      </c>
      <c r="O48" s="72" t="str">
        <f>VLOOKUP(CONCATENATE(IF(J48="X",1,0),IF(K48="X",2,0),IF(L48="X",3,0),IF(M48="X",4,0)),Puntuaciones!$I$15:$N$67,6,0)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48" s="70"/>
      <c r="Q48" s="86"/>
      <c r="R48" s="86"/>
      <c r="S48" s="86"/>
      <c r="T48" s="86"/>
      <c r="U48" s="87"/>
      <c r="V48" s="74"/>
      <c r="W48" s="75"/>
      <c r="X48" s="76"/>
      <c r="AB48" s="23"/>
      <c r="AC48" s="23"/>
      <c r="AH48" s="3"/>
    </row>
    <row r="49" spans="2:34" s="21" customFormat="1" ht="94.5" customHeight="1" x14ac:dyDescent="0.3">
      <c r="B49" s="71"/>
      <c r="C49" s="71" t="s">
        <v>351</v>
      </c>
      <c r="D49" s="71" t="s">
        <v>352</v>
      </c>
      <c r="E49" s="71">
        <f t="shared" si="3"/>
        <v>43</v>
      </c>
      <c r="F49" s="71" t="s">
        <v>284</v>
      </c>
      <c r="G49" s="88" t="str">
        <f>IFERROR(VLOOKUP($C49,Tablas1!$B$3:$C$25,2,0),"ERROR")</f>
        <v>ERROR</v>
      </c>
      <c r="H49" s="89" t="str">
        <f>IFERROR(VLOOKUP(F49,Tablas1!$H$2:$I$10,2,0),"ERROR")</f>
        <v>ERROR</v>
      </c>
      <c r="I49" s="88" t="s">
        <v>360</v>
      </c>
      <c r="J49" s="73"/>
      <c r="K49" s="73"/>
      <c r="L49" s="73"/>
      <c r="M49" s="73" t="s">
        <v>154</v>
      </c>
      <c r="N49" s="72" t="s">
        <v>354</v>
      </c>
      <c r="O49" s="72" t="str">
        <f>VLOOKUP(CONCATENATE(IF(J49="X",1,0),IF(K49="X",2,0),IF(L49="X",3,0),IF(M49="X",4,0)),Puntuaciones!$I$15:$N$67,6,0)</f>
        <v xml:space="preserve">
3. Deterioro de los procesos operativos.
</v>
      </c>
      <c r="P49" s="70"/>
      <c r="Q49" s="86"/>
      <c r="R49" s="86"/>
      <c r="S49" s="86"/>
      <c r="T49" s="86"/>
      <c r="U49" s="87"/>
      <c r="V49" s="74"/>
      <c r="W49" s="75"/>
      <c r="X49" s="76"/>
      <c r="AB49" s="23"/>
      <c r="AC49" s="23"/>
      <c r="AH49" s="3"/>
    </row>
    <row r="50" spans="2:34" s="21" customFormat="1" ht="94.5" customHeight="1" x14ac:dyDescent="0.3">
      <c r="B50" s="71"/>
      <c r="C50" s="71" t="s">
        <v>351</v>
      </c>
      <c r="D50" s="71" t="s">
        <v>352</v>
      </c>
      <c r="E50" s="71">
        <f t="shared" si="3"/>
        <v>44</v>
      </c>
      <c r="F50" s="71" t="s">
        <v>284</v>
      </c>
      <c r="G50" s="88" t="str">
        <f>IFERROR(VLOOKUP($C50,Tablas1!$B$3:$C$25,2,0),"ERROR")</f>
        <v>ERROR</v>
      </c>
      <c r="H50" s="89" t="str">
        <f>IFERROR(VLOOKUP(F50,Tablas1!$H$2:$I$10,2,0),"ERROR")</f>
        <v>ERROR</v>
      </c>
      <c r="I50" s="72" t="s">
        <v>361</v>
      </c>
      <c r="J50" s="73"/>
      <c r="K50" s="73" t="s">
        <v>154</v>
      </c>
      <c r="L50" s="73" t="s">
        <v>154</v>
      </c>
      <c r="M50" s="73" t="s">
        <v>154</v>
      </c>
      <c r="N50" s="72" t="s">
        <v>354</v>
      </c>
      <c r="O50" s="72" t="str">
        <f>VLOOKUP(CONCATENATE(IF(J50="X",1,0),IF(K50="X",2,0),IF(L50="X",3,0),IF(M50="X",4,0)),Puntuaciones!$I$15:$N$67,6,0)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50" s="70"/>
      <c r="Q50" s="86"/>
      <c r="R50" s="86"/>
      <c r="S50" s="86"/>
      <c r="T50" s="86"/>
      <c r="U50" s="87"/>
      <c r="V50" s="74"/>
      <c r="W50" s="75"/>
      <c r="X50" s="76"/>
      <c r="AB50" s="23"/>
      <c r="AC50" s="23"/>
      <c r="AH50" s="3"/>
    </row>
    <row r="51" spans="2:34" s="21" customFormat="1" ht="94.5" customHeight="1" x14ac:dyDescent="0.3">
      <c r="B51" s="71"/>
      <c r="C51" s="71" t="s">
        <v>351</v>
      </c>
      <c r="D51" s="71" t="s">
        <v>352</v>
      </c>
      <c r="E51" s="71">
        <f t="shared" si="3"/>
        <v>45</v>
      </c>
      <c r="F51" s="71" t="s">
        <v>284</v>
      </c>
      <c r="G51" s="88" t="str">
        <f>IFERROR(VLOOKUP($C51,Tablas1!$B$3:$C$25,2,0),"ERROR")</f>
        <v>ERROR</v>
      </c>
      <c r="H51" s="89" t="str">
        <f>IFERROR(VLOOKUP(F51,Tablas1!$H$2:$I$10,2,0),"ERROR")</f>
        <v>ERROR</v>
      </c>
      <c r="I51" s="72" t="s">
        <v>362</v>
      </c>
      <c r="J51" s="73" t="s">
        <v>154</v>
      </c>
      <c r="K51" s="73" t="s">
        <v>154</v>
      </c>
      <c r="L51" s="73" t="s">
        <v>154</v>
      </c>
      <c r="M51" s="73" t="s">
        <v>154</v>
      </c>
      <c r="N51" s="72" t="s">
        <v>363</v>
      </c>
      <c r="O51" s="72" t="str">
        <f>VLOOKUP(CONCATENATE(IF(J51="X",1,0),IF(K51="X",2,0),IF(L51="X",3,0),IF(M51="X",4,0)),Puntuaciones!$I$15:$N$67,6,0)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51" s="70"/>
      <c r="Q51" s="86"/>
      <c r="R51" s="86"/>
      <c r="S51" s="86"/>
      <c r="T51" s="86"/>
      <c r="U51" s="87"/>
      <c r="V51" s="74"/>
      <c r="W51" s="75"/>
      <c r="X51" s="76"/>
      <c r="AB51" s="23"/>
      <c r="AC51" s="23"/>
      <c r="AH51" s="3"/>
    </row>
    <row r="52" spans="2:34" s="21" customFormat="1" ht="94.5" customHeight="1" x14ac:dyDescent="0.3">
      <c r="B52" s="71"/>
      <c r="C52" s="71" t="s">
        <v>351</v>
      </c>
      <c r="D52" s="71" t="s">
        <v>352</v>
      </c>
      <c r="E52" s="71">
        <f t="shared" si="3"/>
        <v>46</v>
      </c>
      <c r="F52" s="71" t="s">
        <v>284</v>
      </c>
      <c r="G52" s="88" t="str">
        <f>IFERROR(VLOOKUP($C52,Tablas1!$B$3:$C$25,2,0),"ERROR")</f>
        <v>ERROR</v>
      </c>
      <c r="H52" s="89" t="str">
        <f>IFERROR(VLOOKUP(F52,Tablas1!$H$2:$I$10,2,0),"ERROR")</f>
        <v>ERROR</v>
      </c>
      <c r="I52" s="72" t="s">
        <v>364</v>
      </c>
      <c r="J52" s="73" t="s">
        <v>154</v>
      </c>
      <c r="K52" s="73" t="s">
        <v>154</v>
      </c>
      <c r="L52" s="73" t="s">
        <v>154</v>
      </c>
      <c r="M52" s="73" t="s">
        <v>154</v>
      </c>
      <c r="N52" s="72" t="s">
        <v>363</v>
      </c>
      <c r="O52" s="72" t="str">
        <f>VLOOKUP(CONCATENATE(IF(J52="X",1,0),IF(K52="X",2,0),IF(L52="X",3,0),IF(M52="X",4,0)),Puntuaciones!$I$15:$N$67,6,0)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52" s="70"/>
      <c r="Q52" s="86"/>
      <c r="R52" s="86"/>
      <c r="S52" s="86"/>
      <c r="T52" s="86"/>
      <c r="U52" s="87"/>
      <c r="V52" s="74"/>
      <c r="W52" s="75"/>
      <c r="X52" s="76"/>
      <c r="AB52" s="23"/>
      <c r="AC52" s="23"/>
      <c r="AH52" s="3"/>
    </row>
    <row r="53" spans="2:34" s="21" customFormat="1" ht="94.5" customHeight="1" x14ac:dyDescent="0.3">
      <c r="B53" s="71"/>
      <c r="C53" s="71" t="s">
        <v>351</v>
      </c>
      <c r="D53" s="71" t="s">
        <v>352</v>
      </c>
      <c r="E53" s="71">
        <f t="shared" si="3"/>
        <v>47</v>
      </c>
      <c r="F53" s="71" t="s">
        <v>284</v>
      </c>
      <c r="G53" s="88" t="str">
        <f>IFERROR(VLOOKUP($C53,Tablas1!$B$3:$C$25,2,0),"ERROR")</f>
        <v>ERROR</v>
      </c>
      <c r="H53" s="89" t="str">
        <f>IFERROR(VLOOKUP(F53,Tablas1!$H$2:$I$10,2,0),"ERROR")</f>
        <v>ERROR</v>
      </c>
      <c r="I53" s="72" t="s">
        <v>365</v>
      </c>
      <c r="J53" s="73"/>
      <c r="K53" s="73" t="s">
        <v>154</v>
      </c>
      <c r="L53" s="73" t="s">
        <v>154</v>
      </c>
      <c r="M53" s="73" t="s">
        <v>154</v>
      </c>
      <c r="N53" s="71" t="s">
        <v>366</v>
      </c>
      <c r="O53" s="72" t="str">
        <f>VLOOKUP(CONCATENATE(IF(J53="X",1,0),IF(K53="X",2,0),IF(L53="X",3,0),IF(M53="X",4,0)),Puntuaciones!$I$15:$N$67,6,0)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53" s="70"/>
      <c r="Q53" s="86"/>
      <c r="R53" s="86"/>
      <c r="S53" s="86"/>
      <c r="T53" s="86"/>
      <c r="U53" s="87"/>
      <c r="V53" s="74"/>
      <c r="W53" s="75"/>
      <c r="X53" s="76"/>
      <c r="AB53" s="23"/>
      <c r="AC53" s="23"/>
      <c r="AH53" s="3"/>
    </row>
    <row r="54" spans="2:34" s="21" customFormat="1" ht="93.75" customHeight="1" x14ac:dyDescent="0.3">
      <c r="B54" s="71"/>
      <c r="C54" s="71" t="s">
        <v>351</v>
      </c>
      <c r="D54" s="71" t="s">
        <v>367</v>
      </c>
      <c r="E54" s="71">
        <f t="shared" si="3"/>
        <v>48</v>
      </c>
      <c r="F54" s="71" t="s">
        <v>284</v>
      </c>
      <c r="G54" s="88" t="str">
        <f>IFERROR(VLOOKUP($C54,Tablas1!$B$3:$C$25,2,0),"ERROR")</f>
        <v>ERROR</v>
      </c>
      <c r="H54" s="89" t="str">
        <f>IFERROR(VLOOKUP(F54,Tablas1!$H$2:$I$10,2,0),"ERROR")</f>
        <v>ERROR</v>
      </c>
      <c r="I54" s="72" t="s">
        <v>368</v>
      </c>
      <c r="J54" s="73" t="s">
        <v>154</v>
      </c>
      <c r="K54" s="73" t="s">
        <v>154</v>
      </c>
      <c r="L54" s="73" t="s">
        <v>154</v>
      </c>
      <c r="M54" s="73" t="s">
        <v>154</v>
      </c>
      <c r="N54" s="72" t="s">
        <v>369</v>
      </c>
      <c r="O54" s="72" t="str">
        <f>VLOOKUP(CONCATENATE(IF(J54="X",1,0),IF(K54="X",2,0),IF(L54="X",3,0),IF(M54="X",4,0)),Puntuaciones!$I$15:$N$67,6,0)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54" s="70"/>
      <c r="Q54" s="86"/>
      <c r="R54" s="86"/>
      <c r="S54" s="86"/>
      <c r="T54" s="86"/>
      <c r="U54" s="87"/>
      <c r="V54" s="74"/>
      <c r="W54" s="75" t="str">
        <f t="shared" si="1"/>
        <v/>
      </c>
      <c r="X54" s="76" t="str">
        <f t="shared" ref="X54" si="4">IFERROR(VLOOKUP(W54,RIEGO,2,FALSE),"")</f>
        <v/>
      </c>
      <c r="AB54" s="23"/>
      <c r="AC54" s="23"/>
      <c r="AH54" s="3"/>
    </row>
    <row r="55" spans="2:34" s="21" customFormat="1" ht="98.25" customHeight="1" x14ac:dyDescent="0.3">
      <c r="B55" s="71"/>
      <c r="C55" s="71" t="s">
        <v>351</v>
      </c>
      <c r="D55" s="71" t="s">
        <v>370</v>
      </c>
      <c r="E55" s="71">
        <f t="shared" si="3"/>
        <v>49</v>
      </c>
      <c r="F55" s="71" t="s">
        <v>284</v>
      </c>
      <c r="G55" s="88" t="str">
        <f>IFERROR(VLOOKUP($C55,Tablas1!$B$3:$C$25,2,0),"ERROR")</f>
        <v>ERROR</v>
      </c>
      <c r="H55" s="89" t="str">
        <f>IFERROR(VLOOKUP(F55,Tablas1!$H$2:$I$10,2,0),"ERROR")</f>
        <v>ERROR</v>
      </c>
      <c r="I55" s="88" t="s">
        <v>371</v>
      </c>
      <c r="J55" s="73" t="s">
        <v>154</v>
      </c>
      <c r="K55" s="73" t="s">
        <v>154</v>
      </c>
      <c r="L55" s="73" t="s">
        <v>154</v>
      </c>
      <c r="M55" s="73" t="s">
        <v>154</v>
      </c>
      <c r="N55" s="72" t="s">
        <v>333</v>
      </c>
      <c r="O55" s="72" t="str">
        <f>VLOOKUP(CONCATENATE(IF(J55="X",1,0),IF(K55="X",2,0),IF(L55="X",3,0),IF(M55="X",4,0)),Puntuaciones!$I$15:$N$67,6,0)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55" s="70"/>
      <c r="Q55" s="86"/>
      <c r="R55" s="86"/>
      <c r="S55" s="86"/>
      <c r="T55" s="86"/>
      <c r="U55" s="87"/>
      <c r="V55" s="74"/>
      <c r="W55" s="75"/>
      <c r="X55" s="76"/>
      <c r="AB55" s="23"/>
      <c r="AC55" s="23"/>
      <c r="AH55" s="3"/>
    </row>
    <row r="56" spans="2:34" s="21" customFormat="1" ht="98.25" customHeight="1" x14ac:dyDescent="0.3">
      <c r="B56" s="71"/>
      <c r="C56" s="71" t="s">
        <v>372</v>
      </c>
      <c r="D56" s="71" t="s">
        <v>372</v>
      </c>
      <c r="E56" s="71">
        <f t="shared" si="3"/>
        <v>50</v>
      </c>
      <c r="F56" s="71" t="s">
        <v>37</v>
      </c>
      <c r="G56" s="88" t="str">
        <f>IFERROR(VLOOKUP($C56,Tablas1!$B$3:$C$25,2,0),"ERROR")</f>
        <v>ERROR</v>
      </c>
      <c r="H56" s="89" t="str">
        <f>IFERROR(VLOOKUP(F56,Tablas1!$H$2:$I$10,2,0),"ERROR")</f>
        <v>FAC5</v>
      </c>
      <c r="I56" s="72" t="s">
        <v>373</v>
      </c>
      <c r="J56" s="73" t="s">
        <v>154</v>
      </c>
      <c r="K56" s="73" t="s">
        <v>154</v>
      </c>
      <c r="L56" s="73" t="s">
        <v>154</v>
      </c>
      <c r="M56" s="73" t="s">
        <v>154</v>
      </c>
      <c r="N56" s="71" t="s">
        <v>374</v>
      </c>
      <c r="O56" s="72" t="str">
        <f>VLOOKUP(CONCATENATE(IF(J56="X",1,0),IF(K56="X",2,0),IF(L56="X",3,0),IF(M56="X",4,0)),Puntuaciones!$I$15:$N$67,6,0)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56" s="70">
        <v>4</v>
      </c>
      <c r="Q56" s="86">
        <v>4</v>
      </c>
      <c r="R56" s="86"/>
      <c r="S56" s="86"/>
      <c r="T56" s="86"/>
      <c r="U56" s="87"/>
      <c r="V56" s="74"/>
      <c r="W56" s="75"/>
      <c r="X56" s="76"/>
      <c r="AB56" s="23"/>
      <c r="AC56" s="23"/>
      <c r="AH56" s="3"/>
    </row>
    <row r="57" spans="2:34" s="21" customFormat="1" ht="98.25" customHeight="1" x14ac:dyDescent="0.3">
      <c r="B57" s="71"/>
      <c r="C57" s="71" t="s">
        <v>372</v>
      </c>
      <c r="D57" s="71" t="s">
        <v>372</v>
      </c>
      <c r="E57" s="71">
        <f t="shared" si="3"/>
        <v>51</v>
      </c>
      <c r="F57" s="71" t="s">
        <v>184</v>
      </c>
      <c r="G57" s="88" t="str">
        <f>IFERROR(VLOOKUP($C57,Tablas1!$B$3:$C$25,2,0),"ERROR")</f>
        <v>ERROR</v>
      </c>
      <c r="H57" s="89" t="str">
        <f>IFERROR(VLOOKUP(F57,Tablas1!$H$2:$I$10,2,0),"ERROR")</f>
        <v>ERROR</v>
      </c>
      <c r="I57" s="72" t="s">
        <v>373</v>
      </c>
      <c r="J57" s="73" t="s">
        <v>154</v>
      </c>
      <c r="K57" s="73" t="s">
        <v>154</v>
      </c>
      <c r="L57" s="73" t="s">
        <v>154</v>
      </c>
      <c r="M57" s="73" t="s">
        <v>154</v>
      </c>
      <c r="N57" s="71" t="s">
        <v>374</v>
      </c>
      <c r="O57" s="72" t="str">
        <f>VLOOKUP(CONCATENATE(IF(J57="X",1,0),IF(K57="X",2,0),IF(L57="X",3,0),IF(M57="X",4,0)),Puntuaciones!$I$15:$N$67,6,0)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57" s="70"/>
      <c r="Q57" s="86"/>
      <c r="R57" s="86"/>
      <c r="S57" s="86"/>
      <c r="T57" s="86"/>
      <c r="U57" s="87"/>
      <c r="V57" s="74"/>
      <c r="W57" s="75"/>
      <c r="X57" s="76"/>
      <c r="AB57" s="23"/>
      <c r="AC57" s="23"/>
      <c r="AH57" s="3"/>
    </row>
    <row r="58" spans="2:34" s="21" customFormat="1" ht="98.25" customHeight="1" x14ac:dyDescent="0.3">
      <c r="B58" s="71"/>
      <c r="C58" s="71" t="s">
        <v>372</v>
      </c>
      <c r="D58" s="71" t="s">
        <v>372</v>
      </c>
      <c r="E58" s="71">
        <f t="shared" si="3"/>
        <v>52</v>
      </c>
      <c r="F58" s="71" t="s">
        <v>284</v>
      </c>
      <c r="G58" s="88" t="str">
        <f>IFERROR(VLOOKUP($C58,Tablas1!$B$3:$C$25,2,0),"ERROR")</f>
        <v>ERROR</v>
      </c>
      <c r="H58" s="89" t="str">
        <f>IFERROR(VLOOKUP(F58,Tablas1!$H$2:$I$10,2,0),"ERROR")</f>
        <v>ERROR</v>
      </c>
      <c r="I58" s="72" t="s">
        <v>373</v>
      </c>
      <c r="J58" s="73" t="s">
        <v>154</v>
      </c>
      <c r="K58" s="73" t="s">
        <v>154</v>
      </c>
      <c r="L58" s="73" t="s">
        <v>154</v>
      </c>
      <c r="M58" s="73" t="s">
        <v>154</v>
      </c>
      <c r="N58" s="71" t="s">
        <v>374</v>
      </c>
      <c r="O58" s="72" t="str">
        <f>VLOOKUP(CONCATENATE(IF(J58="X",1,0),IF(K58="X",2,0),IF(L58="X",3,0),IF(M58="X",4,0)),Puntuaciones!$I$15:$N$67,6,0)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58" s="70"/>
      <c r="Q58" s="86"/>
      <c r="R58" s="86"/>
      <c r="S58" s="86"/>
      <c r="T58" s="86"/>
      <c r="U58" s="87"/>
      <c r="V58" s="74"/>
      <c r="W58" s="75"/>
      <c r="X58" s="76"/>
      <c r="AB58" s="23"/>
      <c r="AC58" s="23"/>
      <c r="AH58" s="3"/>
    </row>
    <row r="59" spans="2:34" s="21" customFormat="1" ht="98.25" customHeight="1" x14ac:dyDescent="0.3">
      <c r="B59" s="71"/>
      <c r="C59" s="71" t="s">
        <v>372</v>
      </c>
      <c r="D59" s="71" t="s">
        <v>372</v>
      </c>
      <c r="E59" s="71">
        <f t="shared" si="3"/>
        <v>53</v>
      </c>
      <c r="F59" s="71" t="s">
        <v>188</v>
      </c>
      <c r="G59" s="88" t="str">
        <f>IFERROR(VLOOKUP($C59,Tablas1!$B$3:$C$25,2,0),"ERROR")</f>
        <v>ERROR</v>
      </c>
      <c r="H59" s="89" t="str">
        <f>IFERROR(VLOOKUP(F59,Tablas1!$H$2:$I$10,2,0),"ERROR")</f>
        <v>ERROR</v>
      </c>
      <c r="I59" s="72" t="s">
        <v>373</v>
      </c>
      <c r="J59" s="73" t="s">
        <v>154</v>
      </c>
      <c r="K59" s="73" t="s">
        <v>154</v>
      </c>
      <c r="L59" s="73" t="s">
        <v>154</v>
      </c>
      <c r="M59" s="73" t="s">
        <v>154</v>
      </c>
      <c r="N59" s="71" t="s">
        <v>374</v>
      </c>
      <c r="O59" s="72" t="str">
        <f>VLOOKUP(CONCATENATE(IF(J59="X",1,0),IF(K59="X",2,0),IF(L59="X",3,0),IF(M59="X",4,0)),Puntuaciones!$I$15:$N$67,6,0)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59" s="70"/>
      <c r="Q59" s="86"/>
      <c r="R59" s="86"/>
      <c r="S59" s="86"/>
      <c r="T59" s="86"/>
      <c r="U59" s="87"/>
      <c r="V59" s="74"/>
      <c r="W59" s="75"/>
      <c r="X59" s="76"/>
      <c r="AB59" s="23"/>
      <c r="AC59" s="23"/>
      <c r="AH59" s="3"/>
    </row>
    <row r="60" spans="2:34" s="21" customFormat="1" ht="98.25" customHeight="1" x14ac:dyDescent="0.3">
      <c r="B60" s="71"/>
      <c r="C60" s="71" t="s">
        <v>372</v>
      </c>
      <c r="D60" s="71" t="s">
        <v>375</v>
      </c>
      <c r="E60" s="71">
        <f t="shared" si="3"/>
        <v>54</v>
      </c>
      <c r="F60" s="71" t="s">
        <v>284</v>
      </c>
      <c r="G60" s="88" t="str">
        <f>IFERROR(VLOOKUP($C60,Tablas1!$B$3:$C$25,2,0),"ERROR")</f>
        <v>ERROR</v>
      </c>
      <c r="H60" s="89" t="str">
        <f>IFERROR(VLOOKUP(F60,Tablas1!$H$2:$I$10,2,0),"ERROR")</f>
        <v>ERROR</v>
      </c>
      <c r="I60" s="72" t="s">
        <v>376</v>
      </c>
      <c r="J60" s="73"/>
      <c r="K60" s="73" t="s">
        <v>154</v>
      </c>
      <c r="L60" s="73" t="s">
        <v>154</v>
      </c>
      <c r="M60" s="73" t="s">
        <v>154</v>
      </c>
      <c r="N60" s="71" t="s">
        <v>377</v>
      </c>
      <c r="O60" s="72" t="str">
        <f>VLOOKUP(CONCATENATE(IF(J60="X",1,0),IF(K60="X",2,0),IF(L60="X",3,0),IF(M60="X",4,0)),Puntuaciones!$I$15:$N$67,6,0)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60" s="70"/>
      <c r="Q60" s="86"/>
      <c r="R60" s="86"/>
      <c r="S60" s="86"/>
      <c r="T60" s="86"/>
      <c r="U60" s="87"/>
      <c r="V60" s="74"/>
      <c r="W60" s="75"/>
      <c r="X60" s="76"/>
      <c r="AB60" s="23"/>
      <c r="AC60" s="23"/>
      <c r="AH60" s="3"/>
    </row>
    <row r="61" spans="2:34" s="21" customFormat="1" ht="98.25" customHeight="1" x14ac:dyDescent="0.3">
      <c r="B61" s="71"/>
      <c r="C61" s="71" t="s">
        <v>372</v>
      </c>
      <c r="D61" s="71" t="s">
        <v>378</v>
      </c>
      <c r="E61" s="71">
        <f t="shared" si="3"/>
        <v>55</v>
      </c>
      <c r="F61" s="71" t="s">
        <v>37</v>
      </c>
      <c r="G61" s="88" t="str">
        <f>IFERROR(VLOOKUP($C61,Tablas1!$B$3:$C$25,2,0),"ERROR")</f>
        <v>ERROR</v>
      </c>
      <c r="H61" s="89" t="str">
        <f>IFERROR(VLOOKUP(F61,Tablas1!$H$2:$I$10,2,0),"ERROR")</f>
        <v>FAC5</v>
      </c>
      <c r="I61" s="72" t="s">
        <v>379</v>
      </c>
      <c r="J61" s="73"/>
      <c r="K61" s="73" t="s">
        <v>154</v>
      </c>
      <c r="L61" s="73" t="s">
        <v>154</v>
      </c>
      <c r="M61" s="73" t="s">
        <v>154</v>
      </c>
      <c r="N61" s="71" t="s">
        <v>380</v>
      </c>
      <c r="O61" s="72" t="str">
        <f>VLOOKUP(CONCATENATE(IF(J61="X",1,0),IF(K61="X",2,0),IF(L61="X",3,0),IF(M61="X",4,0)),Puntuaciones!$I$15:$N$67,6,0)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61" s="70"/>
      <c r="Q61" s="86"/>
      <c r="R61" s="86"/>
      <c r="S61" s="86"/>
      <c r="T61" s="86"/>
      <c r="U61" s="87"/>
      <c r="V61" s="74"/>
      <c r="W61" s="75"/>
      <c r="X61" s="76"/>
      <c r="AB61" s="23"/>
      <c r="AC61" s="23"/>
      <c r="AH61" s="3"/>
    </row>
    <row r="62" spans="2:34" s="21" customFormat="1" ht="98.25" customHeight="1" x14ac:dyDescent="0.3">
      <c r="B62" s="71"/>
      <c r="C62" s="71" t="s">
        <v>372</v>
      </c>
      <c r="D62" s="71" t="s">
        <v>378</v>
      </c>
      <c r="E62" s="71">
        <f t="shared" si="3"/>
        <v>56</v>
      </c>
      <c r="F62" s="71" t="s">
        <v>184</v>
      </c>
      <c r="G62" s="88" t="str">
        <f>IFERROR(VLOOKUP($C62,Tablas1!$B$3:$C$25,2,0),"ERROR")</f>
        <v>ERROR</v>
      </c>
      <c r="H62" s="89" t="str">
        <f>IFERROR(VLOOKUP(F62,Tablas1!$H$2:$I$10,2,0),"ERROR")</f>
        <v>ERROR</v>
      </c>
      <c r="I62" s="72" t="s">
        <v>379</v>
      </c>
      <c r="J62" s="73"/>
      <c r="K62" s="73" t="s">
        <v>154</v>
      </c>
      <c r="L62" s="73" t="s">
        <v>154</v>
      </c>
      <c r="M62" s="73" t="s">
        <v>154</v>
      </c>
      <c r="N62" s="71" t="s">
        <v>380</v>
      </c>
      <c r="O62" s="72" t="str">
        <f>VLOOKUP(CONCATENATE(IF(J62="X",1,0),IF(K62="X",2,0),IF(L62="X",3,0),IF(M62="X",4,0)),Puntuaciones!$I$15:$N$67,6,0)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62" s="70"/>
      <c r="Q62" s="86"/>
      <c r="R62" s="86"/>
      <c r="S62" s="86"/>
      <c r="T62" s="86"/>
      <c r="U62" s="87"/>
      <c r="V62" s="74"/>
      <c r="W62" s="75"/>
      <c r="X62" s="76"/>
      <c r="AB62" s="23"/>
      <c r="AC62" s="23"/>
      <c r="AH62" s="3"/>
    </row>
    <row r="63" spans="2:34" s="21" customFormat="1" ht="98.25" customHeight="1" x14ac:dyDescent="0.3">
      <c r="B63" s="71"/>
      <c r="C63" s="71" t="s">
        <v>372</v>
      </c>
      <c r="D63" s="71" t="s">
        <v>378</v>
      </c>
      <c r="E63" s="71">
        <f t="shared" si="3"/>
        <v>57</v>
      </c>
      <c r="F63" s="71" t="s">
        <v>284</v>
      </c>
      <c r="G63" s="88" t="str">
        <f>IFERROR(VLOOKUP($C63,Tablas1!$B$3:$C$25,2,0),"ERROR")</f>
        <v>ERROR</v>
      </c>
      <c r="H63" s="89" t="str">
        <f>IFERROR(VLOOKUP(F63,Tablas1!$H$2:$I$10,2,0),"ERROR")</f>
        <v>ERROR</v>
      </c>
      <c r="I63" s="72" t="s">
        <v>379</v>
      </c>
      <c r="J63" s="73"/>
      <c r="K63" s="73" t="s">
        <v>154</v>
      </c>
      <c r="L63" s="73" t="s">
        <v>154</v>
      </c>
      <c r="M63" s="73" t="s">
        <v>154</v>
      </c>
      <c r="N63" s="71" t="s">
        <v>380</v>
      </c>
      <c r="O63" s="72" t="str">
        <f>VLOOKUP(CONCATENATE(IF(J63="X",1,0),IF(K63="X",2,0),IF(L63="X",3,0),IF(M63="X",4,0)),Puntuaciones!$I$15:$N$67,6,0)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63" s="70"/>
      <c r="Q63" s="86"/>
      <c r="R63" s="86"/>
      <c r="S63" s="86"/>
      <c r="T63" s="86"/>
      <c r="U63" s="87"/>
      <c r="V63" s="74"/>
      <c r="W63" s="75"/>
      <c r="X63" s="76"/>
      <c r="AB63" s="23"/>
      <c r="AC63" s="23"/>
      <c r="AH63" s="3"/>
    </row>
    <row r="64" spans="2:34" s="21" customFormat="1" ht="98.25" customHeight="1" x14ac:dyDescent="0.3">
      <c r="B64" s="71"/>
      <c r="C64" s="71" t="s">
        <v>372</v>
      </c>
      <c r="D64" s="71" t="s">
        <v>378</v>
      </c>
      <c r="E64" s="71">
        <f t="shared" si="3"/>
        <v>58</v>
      </c>
      <c r="F64" s="71" t="s">
        <v>188</v>
      </c>
      <c r="G64" s="88" t="str">
        <f>IFERROR(VLOOKUP($C64,Tablas1!$B$3:$C$25,2,0),"ERROR")</f>
        <v>ERROR</v>
      </c>
      <c r="H64" s="89" t="str">
        <f>IFERROR(VLOOKUP(F64,Tablas1!$H$2:$I$10,2,0),"ERROR")</f>
        <v>ERROR</v>
      </c>
      <c r="I64" s="72" t="s">
        <v>379</v>
      </c>
      <c r="J64" s="73"/>
      <c r="K64" s="73" t="s">
        <v>154</v>
      </c>
      <c r="L64" s="73" t="s">
        <v>154</v>
      </c>
      <c r="M64" s="73" t="s">
        <v>154</v>
      </c>
      <c r="N64" s="71" t="s">
        <v>380</v>
      </c>
      <c r="O64" s="72" t="str">
        <f>VLOOKUP(CONCATENATE(IF(J64="X",1,0),IF(K64="X",2,0),IF(L64="X",3,0),IF(M64="X",4,0)),Puntuaciones!$I$15:$N$67,6,0)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64" s="70"/>
      <c r="Q64" s="86"/>
      <c r="R64" s="86"/>
      <c r="S64" s="86"/>
      <c r="T64" s="86"/>
      <c r="U64" s="87"/>
      <c r="V64" s="74"/>
      <c r="W64" s="75"/>
      <c r="X64" s="76"/>
      <c r="AB64" s="23"/>
      <c r="AC64" s="23"/>
      <c r="AH64" s="3"/>
    </row>
    <row r="65" spans="2:34" s="21" customFormat="1" ht="98.25" customHeight="1" x14ac:dyDescent="0.3">
      <c r="B65" s="71"/>
      <c r="C65" s="71" t="s">
        <v>372</v>
      </c>
      <c r="D65" s="71" t="s">
        <v>381</v>
      </c>
      <c r="E65" s="71">
        <f t="shared" si="3"/>
        <v>59</v>
      </c>
      <c r="F65" s="71" t="s">
        <v>184</v>
      </c>
      <c r="G65" s="88" t="str">
        <f>IFERROR(VLOOKUP($C65,Tablas1!$B$3:$C$25,2,0),"ERROR")</f>
        <v>ERROR</v>
      </c>
      <c r="H65" s="89" t="str">
        <f>IFERROR(VLOOKUP(F65,Tablas1!$H$2:$I$10,2,0),"ERROR")</f>
        <v>ERROR</v>
      </c>
      <c r="I65" s="72" t="s">
        <v>382</v>
      </c>
      <c r="J65" s="73" t="s">
        <v>154</v>
      </c>
      <c r="K65" s="73" t="s">
        <v>154</v>
      </c>
      <c r="L65" s="73" t="s">
        <v>154</v>
      </c>
      <c r="M65" s="73" t="s">
        <v>154</v>
      </c>
      <c r="N65" s="71" t="s">
        <v>383</v>
      </c>
      <c r="O65" s="72" t="str">
        <f>VLOOKUP(CONCATENATE(IF(J65="X",1,0),IF(K65="X",2,0),IF(L65="X",3,0),IF(M65="X",4,0)),Puntuaciones!$I$15:$N$67,6,0)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65" s="70"/>
      <c r="Q65" s="86"/>
      <c r="R65" s="86"/>
      <c r="S65" s="86"/>
      <c r="T65" s="86"/>
      <c r="U65" s="87"/>
      <c r="V65" s="74"/>
      <c r="W65" s="75"/>
      <c r="X65" s="76"/>
      <c r="AB65" s="23"/>
      <c r="AC65" s="23"/>
      <c r="AH65" s="3"/>
    </row>
    <row r="66" spans="2:34" s="21" customFormat="1" ht="98.25" customHeight="1" x14ac:dyDescent="0.3">
      <c r="B66" s="71"/>
      <c r="C66" s="71" t="s">
        <v>384</v>
      </c>
      <c r="D66" s="71" t="s">
        <v>385</v>
      </c>
      <c r="E66" s="71">
        <f t="shared" si="3"/>
        <v>60</v>
      </c>
      <c r="F66" s="71" t="s">
        <v>284</v>
      </c>
      <c r="G66" s="89" t="str">
        <f>IFERROR(VLOOKUP($C66,Tablas1!$B$3:$C$24,2,0),"ERROR")</f>
        <v>ERROR</v>
      </c>
      <c r="H66" s="89" t="str">
        <f>IFERROR(VLOOKUP(F66,Tablas1!$H$2:$I$10,2,0),"ERROR")</f>
        <v>ERROR</v>
      </c>
      <c r="I66" s="72" t="s">
        <v>386</v>
      </c>
      <c r="J66" s="73"/>
      <c r="K66" s="73" t="s">
        <v>154</v>
      </c>
      <c r="L66" s="73"/>
      <c r="M66" s="73" t="s">
        <v>154</v>
      </c>
      <c r="N66" s="71" t="s">
        <v>387</v>
      </c>
      <c r="O66" s="72" t="str">
        <f>VLOOKUP(CONCATENATE(IF(J66="X",1,0),IF(K66="X",2,0),IF(L66="X",3,0),IF(M66="X",4,0)),Puntuaciones!$I$15:$N$67,6,0)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66" s="70"/>
      <c r="Q66" s="86"/>
      <c r="R66" s="86"/>
      <c r="S66" s="86"/>
      <c r="T66" s="86"/>
      <c r="U66" s="87"/>
      <c r="V66" s="74"/>
      <c r="W66" s="75"/>
      <c r="X66" s="76"/>
      <c r="AB66" s="23"/>
      <c r="AC66" s="23"/>
      <c r="AH66" s="3"/>
    </row>
    <row r="67" spans="2:34" s="21" customFormat="1" ht="98.25" customHeight="1" x14ac:dyDescent="0.3">
      <c r="B67" s="71"/>
      <c r="C67" s="71" t="s">
        <v>384</v>
      </c>
      <c r="D67" s="71" t="s">
        <v>388</v>
      </c>
      <c r="E67" s="71">
        <f t="shared" si="3"/>
        <v>61</v>
      </c>
      <c r="F67" s="71" t="s">
        <v>284</v>
      </c>
      <c r="G67" s="89" t="str">
        <f>IFERROR(VLOOKUP($C67,Tablas1!$B$3:$C$24,2,0),"ERROR")</f>
        <v>ERROR</v>
      </c>
      <c r="H67" s="89" t="str">
        <f>IFERROR(VLOOKUP(F67,Tablas1!$H$2:$I$10,2,0),"ERROR")</f>
        <v>ERROR</v>
      </c>
      <c r="I67" s="72" t="s">
        <v>389</v>
      </c>
      <c r="J67" s="73"/>
      <c r="K67" s="73" t="s">
        <v>154</v>
      </c>
      <c r="L67" s="73"/>
      <c r="M67" s="73" t="s">
        <v>154</v>
      </c>
      <c r="N67" s="71" t="s">
        <v>387</v>
      </c>
      <c r="O67" s="72" t="str">
        <f>VLOOKUP(CONCATENATE(IF(J67="X",1,0),IF(K67="X",2,0),IF(L67="X",3,0),IF(M67="X",4,0)),Puntuaciones!$I$15:$N$67,6,0)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67" s="70"/>
      <c r="Q67" s="86"/>
      <c r="R67" s="86"/>
      <c r="S67" s="86"/>
      <c r="T67" s="86"/>
      <c r="U67" s="87"/>
      <c r="V67" s="74"/>
      <c r="W67" s="75"/>
      <c r="X67" s="76"/>
      <c r="AB67" s="23"/>
      <c r="AC67" s="23"/>
      <c r="AH67" s="3"/>
    </row>
    <row r="68" spans="2:34" s="21" customFormat="1" ht="98.25" customHeight="1" x14ac:dyDescent="0.3">
      <c r="B68" s="71"/>
      <c r="C68" s="71" t="s">
        <v>390</v>
      </c>
      <c r="D68" s="71" t="s">
        <v>391</v>
      </c>
      <c r="E68" s="71">
        <f t="shared" si="3"/>
        <v>62</v>
      </c>
      <c r="F68" s="71" t="s">
        <v>37</v>
      </c>
      <c r="G68" s="89" t="str">
        <f>IFERROR(VLOOKUP($C68,Tablas1!$B$3:$C$24,2,0),"ERROR")</f>
        <v>ERROR</v>
      </c>
      <c r="H68" s="89" t="str">
        <f>IFERROR(VLOOKUP(F68,Tablas1!$H$2:$I$10,2,0),"ERROR")</f>
        <v>FAC5</v>
      </c>
      <c r="I68" s="72" t="s">
        <v>392</v>
      </c>
      <c r="J68" s="73"/>
      <c r="K68" s="73" t="s">
        <v>154</v>
      </c>
      <c r="L68" s="73" t="s">
        <v>154</v>
      </c>
      <c r="M68" s="73" t="s">
        <v>154</v>
      </c>
      <c r="N68" s="72" t="s">
        <v>393</v>
      </c>
      <c r="O68" s="72" t="str">
        <f>VLOOKUP(CONCATENATE(IF(J68="X",1,0),IF(K68="X",2,0),IF(L68="X",3,0),IF(M68="X",4,0)),Puntuaciones!$I$15:$N$67,6,0)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68" s="70"/>
      <c r="Q68" s="86"/>
      <c r="R68" s="86"/>
      <c r="S68" s="86"/>
      <c r="T68" s="86"/>
      <c r="U68" s="87"/>
      <c r="V68" s="74"/>
      <c r="W68" s="75"/>
      <c r="X68" s="76"/>
      <c r="AB68" s="23"/>
      <c r="AC68" s="23"/>
      <c r="AH68" s="3"/>
    </row>
    <row r="69" spans="2:34" s="21" customFormat="1" ht="98.25" customHeight="1" x14ac:dyDescent="0.3">
      <c r="B69" s="71"/>
      <c r="C69" s="71" t="s">
        <v>394</v>
      </c>
      <c r="D69" s="71" t="s">
        <v>394</v>
      </c>
      <c r="E69" s="71">
        <f t="shared" si="3"/>
        <v>63</v>
      </c>
      <c r="F69" s="71" t="s">
        <v>284</v>
      </c>
      <c r="G69" s="89" t="str">
        <f>IFERROR(VLOOKUP($C69,Tablas1!$B$3:$C$24,2,0),"ERROR")</f>
        <v>ERROR</v>
      </c>
      <c r="H69" s="89" t="str">
        <f>IFERROR(VLOOKUP(F69,Tablas1!$H$2:$I$10,2,0),"ERROR")</f>
        <v>ERROR</v>
      </c>
      <c r="I69" s="88" t="s">
        <v>395</v>
      </c>
      <c r="J69" s="73"/>
      <c r="K69" s="73" t="s">
        <v>154</v>
      </c>
      <c r="L69" s="73" t="s">
        <v>154</v>
      </c>
      <c r="M69" s="73" t="s">
        <v>154</v>
      </c>
      <c r="N69" s="72" t="s">
        <v>396</v>
      </c>
      <c r="O69" s="72" t="str">
        <f>VLOOKUP(CONCATENATE(IF(J69="X",1,0),IF(K69="X",2,0),IF(L69="X",3,0),IF(M69="X",4,0)),Puntuaciones!$I$15:$N$67,6,0)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69" s="70"/>
      <c r="Q69" s="86"/>
      <c r="R69" s="86"/>
      <c r="S69" s="86"/>
      <c r="T69" s="86"/>
      <c r="U69" s="87"/>
      <c r="V69" s="74"/>
      <c r="W69" s="75"/>
      <c r="X69" s="76"/>
      <c r="AB69" s="23"/>
      <c r="AC69" s="23"/>
      <c r="AH69" s="3"/>
    </row>
    <row r="70" spans="2:34" s="21" customFormat="1" ht="98.25" customHeight="1" x14ac:dyDescent="0.3">
      <c r="B70" s="71"/>
      <c r="C70" s="71" t="s">
        <v>394</v>
      </c>
      <c r="D70" s="71" t="s">
        <v>394</v>
      </c>
      <c r="E70" s="71">
        <f t="shared" si="3"/>
        <v>64</v>
      </c>
      <c r="F70" s="71" t="s">
        <v>37</v>
      </c>
      <c r="G70" s="88" t="str">
        <f>IFERROR(VLOOKUP($C70,Tablas1!$B$3:$C$25,2,0),"ERROR")</f>
        <v>ERROR</v>
      </c>
      <c r="H70" s="89" t="str">
        <f>IFERROR(VLOOKUP(F70,Tablas1!$H$2:$I$10,2,0),"ERROR")</f>
        <v>FAC5</v>
      </c>
      <c r="I70" s="88" t="s">
        <v>397</v>
      </c>
      <c r="J70" s="73" t="s">
        <v>154</v>
      </c>
      <c r="K70" s="73" t="s">
        <v>154</v>
      </c>
      <c r="L70" s="73" t="s">
        <v>154</v>
      </c>
      <c r="M70" s="73" t="s">
        <v>154</v>
      </c>
      <c r="N70" s="72" t="s">
        <v>320</v>
      </c>
      <c r="O70" s="72" t="str">
        <f>VLOOKUP(CONCATENATE(IF(J70="X",1,0),IF(K70="X",2,0),IF(L70="X",3,0),IF(M70="X",4,0)),Puntuaciones!$I$15:$N$67,6,0)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70" s="70"/>
      <c r="Q70" s="86"/>
      <c r="R70" s="86"/>
      <c r="S70" s="86"/>
      <c r="T70" s="86"/>
      <c r="U70" s="87"/>
      <c r="V70" s="74"/>
      <c r="W70" s="75"/>
      <c r="X70" s="76"/>
      <c r="AB70" s="23"/>
      <c r="AC70" s="23"/>
      <c r="AH70" s="3"/>
    </row>
    <row r="71" spans="2:34" s="21" customFormat="1" ht="98.25" customHeight="1" x14ac:dyDescent="0.3">
      <c r="B71" s="71"/>
      <c r="C71" s="71" t="s">
        <v>394</v>
      </c>
      <c r="D71" s="71" t="s">
        <v>394</v>
      </c>
      <c r="E71" s="71">
        <f t="shared" si="3"/>
        <v>65</v>
      </c>
      <c r="F71" s="71" t="s">
        <v>184</v>
      </c>
      <c r="G71" s="88" t="str">
        <f>IFERROR(VLOOKUP($C71,Tablas1!$B$3:$C$25,2,0),"ERROR")</f>
        <v>ERROR</v>
      </c>
      <c r="H71" s="89" t="str">
        <f>IFERROR(VLOOKUP(F71,Tablas1!$H$2:$I$10,2,0),"ERROR")</f>
        <v>ERROR</v>
      </c>
      <c r="I71" s="88" t="s">
        <v>321</v>
      </c>
      <c r="J71" s="73" t="s">
        <v>154</v>
      </c>
      <c r="K71" s="73" t="s">
        <v>154</v>
      </c>
      <c r="L71" s="73" t="s">
        <v>154</v>
      </c>
      <c r="M71" s="73" t="s">
        <v>154</v>
      </c>
      <c r="N71" s="72" t="s">
        <v>322</v>
      </c>
      <c r="O71" s="72" t="str">
        <f>VLOOKUP(CONCATENATE(IF(J71="X",1,0),IF(K71="X",2,0),IF(L71="X",3,0),IF(M71="X",4,0)),Puntuaciones!$I$15:$N$67,6,0)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71" s="70"/>
      <c r="Q71" s="86"/>
      <c r="R71" s="86"/>
      <c r="S71" s="86"/>
      <c r="T71" s="86"/>
      <c r="U71" s="87"/>
      <c r="V71" s="74"/>
      <c r="W71" s="75"/>
      <c r="X71" s="76"/>
      <c r="AB71" s="23"/>
      <c r="AC71" s="23"/>
      <c r="AH71" s="3"/>
    </row>
    <row r="72" spans="2:34" s="21" customFormat="1" ht="98.25" customHeight="1" x14ac:dyDescent="0.3">
      <c r="B72" s="71"/>
      <c r="C72" s="71" t="s">
        <v>394</v>
      </c>
      <c r="D72" s="71" t="s">
        <v>394</v>
      </c>
      <c r="E72" s="71">
        <f t="shared" si="3"/>
        <v>66</v>
      </c>
      <c r="F72" s="71" t="s">
        <v>284</v>
      </c>
      <c r="G72" s="88" t="str">
        <f>IFERROR(VLOOKUP($C72,Tablas1!$B$3:$C$25,2,0),"ERROR")</f>
        <v>ERROR</v>
      </c>
      <c r="H72" s="89" t="str">
        <f>IFERROR(VLOOKUP(F72,Tablas1!$H$2:$I$10,2,0),"ERROR")</f>
        <v>ERROR</v>
      </c>
      <c r="I72" s="88" t="s">
        <v>323</v>
      </c>
      <c r="J72" s="73" t="s">
        <v>154</v>
      </c>
      <c r="K72" s="73" t="s">
        <v>154</v>
      </c>
      <c r="L72" s="73" t="s">
        <v>154</v>
      </c>
      <c r="M72" s="73" t="s">
        <v>154</v>
      </c>
      <c r="N72" s="72" t="s">
        <v>324</v>
      </c>
      <c r="O72" s="72" t="str">
        <f>VLOOKUP(CONCATENATE(IF(J72="X",1,0),IF(K72="X",2,0),IF(L72="X",3,0),IF(M72="X",4,0)),Puntuaciones!$I$15:$N$67,6,0)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72" s="70"/>
      <c r="Q72" s="86"/>
      <c r="R72" s="86"/>
      <c r="S72" s="86"/>
      <c r="T72" s="86"/>
      <c r="U72" s="87"/>
      <c r="V72" s="74"/>
      <c r="W72" s="75"/>
      <c r="X72" s="76"/>
      <c r="AB72" s="23"/>
      <c r="AC72" s="23"/>
      <c r="AH72" s="3"/>
    </row>
    <row r="73" spans="2:34" s="21" customFormat="1" ht="98.25" customHeight="1" x14ac:dyDescent="0.3">
      <c r="B73" s="71"/>
      <c r="C73" s="71" t="s">
        <v>394</v>
      </c>
      <c r="D73" s="71" t="s">
        <v>394</v>
      </c>
      <c r="E73" s="71">
        <f t="shared" si="3"/>
        <v>67</v>
      </c>
      <c r="F73" s="71" t="s">
        <v>188</v>
      </c>
      <c r="G73" s="88" t="str">
        <f>IFERROR(VLOOKUP($C73,Tablas1!$B$3:$C$25,2,0),"ERROR")</f>
        <v>ERROR</v>
      </c>
      <c r="H73" s="89" t="str">
        <f>IFERROR(VLOOKUP(F73,Tablas1!$H$2:$I$10,2,0),"ERROR")</f>
        <v>ERROR</v>
      </c>
      <c r="I73" s="88" t="s">
        <v>325</v>
      </c>
      <c r="J73" s="73" t="s">
        <v>154</v>
      </c>
      <c r="K73" s="73" t="s">
        <v>154</v>
      </c>
      <c r="L73" s="73" t="s">
        <v>154</v>
      </c>
      <c r="M73" s="73" t="s">
        <v>154</v>
      </c>
      <c r="N73" s="72" t="s">
        <v>326</v>
      </c>
      <c r="O73" s="72" t="str">
        <f>VLOOKUP(CONCATENATE(IF(J73="X",1,0),IF(K73="X",2,0),IF(L73="X",3,0),IF(M73="X",4,0)),Puntuaciones!$I$15:$N$67,6,0)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73" s="70"/>
      <c r="Q73" s="86"/>
      <c r="R73" s="86"/>
      <c r="S73" s="86"/>
      <c r="T73" s="86"/>
      <c r="U73" s="87"/>
      <c r="V73" s="74"/>
      <c r="W73" s="75"/>
      <c r="X73" s="76"/>
      <c r="AB73" s="23"/>
      <c r="AC73" s="23"/>
      <c r="AH73" s="3"/>
    </row>
    <row r="74" spans="2:34" s="21" customFormat="1" ht="98.25" customHeight="1" x14ac:dyDescent="0.3">
      <c r="B74" s="71"/>
      <c r="C74" s="71" t="s">
        <v>394</v>
      </c>
      <c r="D74" s="71" t="s">
        <v>394</v>
      </c>
      <c r="E74" s="71">
        <f t="shared" si="3"/>
        <v>68</v>
      </c>
      <c r="F74" s="71" t="s">
        <v>192</v>
      </c>
      <c r="G74" s="88" t="str">
        <f>IFERROR(VLOOKUP($C74,Tablas1!$B$3:$C$25,2,0),"ERROR")</f>
        <v>ERROR</v>
      </c>
      <c r="H74" s="89" t="str">
        <f>IFERROR(VLOOKUP(F74,Tablas1!$H$2:$I$10,2,0),"ERROR")</f>
        <v>ERROR</v>
      </c>
      <c r="I74" s="88" t="s">
        <v>193</v>
      </c>
      <c r="J74" s="73"/>
      <c r="K74" s="73" t="s">
        <v>154</v>
      </c>
      <c r="L74" s="73" t="s">
        <v>154</v>
      </c>
      <c r="M74" s="73" t="s">
        <v>154</v>
      </c>
      <c r="N74" s="72" t="s">
        <v>327</v>
      </c>
      <c r="O74" s="72" t="str">
        <f>VLOOKUP(CONCATENATE(IF(J74="X",1,0),IF(K74="X",2,0),IF(L74="X",3,0),IF(M74="X",4,0)),Puntuaciones!$I$15:$N$67,6,0)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74" s="70"/>
      <c r="Q74" s="86"/>
      <c r="R74" s="86"/>
      <c r="S74" s="86"/>
      <c r="T74" s="86"/>
      <c r="U74" s="87"/>
      <c r="V74" s="74"/>
      <c r="W74" s="75"/>
      <c r="X74" s="76"/>
      <c r="AB74" s="23"/>
      <c r="AC74" s="23"/>
      <c r="AH74" s="3"/>
    </row>
    <row r="75" spans="2:34" s="21" customFormat="1" ht="98.25" customHeight="1" x14ac:dyDescent="0.3">
      <c r="B75" s="71"/>
      <c r="C75" s="71" t="s">
        <v>394</v>
      </c>
      <c r="D75" s="71" t="s">
        <v>394</v>
      </c>
      <c r="E75" s="71">
        <f t="shared" si="3"/>
        <v>69</v>
      </c>
      <c r="F75" s="71" t="s">
        <v>289</v>
      </c>
      <c r="G75" s="88" t="str">
        <f>IFERROR(VLOOKUP($C75,Tablas1!$B$3:$C$25,2,0),"ERROR")</f>
        <v>ERROR</v>
      </c>
      <c r="H75" s="89" t="str">
        <f>IFERROR(VLOOKUP(F75,Tablas1!$H$2:$I$10,2,0),"ERROR")</f>
        <v>ERROR</v>
      </c>
      <c r="I75" s="88" t="s">
        <v>290</v>
      </c>
      <c r="J75" s="73"/>
      <c r="K75" s="73" t="s">
        <v>154</v>
      </c>
      <c r="L75" s="73" t="s">
        <v>154</v>
      </c>
      <c r="M75" s="73" t="s">
        <v>154</v>
      </c>
      <c r="N75" s="72" t="s">
        <v>291</v>
      </c>
      <c r="O75" s="72" t="str">
        <f>VLOOKUP(CONCATENATE(IF(J75="X",1,0),IF(K75="X",2,0),IF(L75="X",3,0),IF(M75="X",4,0)),Puntuaciones!$I$15:$N$67,6,0)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75" s="70"/>
      <c r="Q75" s="86"/>
      <c r="R75" s="86"/>
      <c r="S75" s="86"/>
      <c r="T75" s="86"/>
      <c r="U75" s="87"/>
      <c r="V75" s="74"/>
      <c r="W75" s="75"/>
      <c r="X75" s="76"/>
      <c r="AB75" s="23"/>
      <c r="AC75" s="23"/>
      <c r="AH75" s="3"/>
    </row>
    <row r="76" spans="2:34" s="21" customFormat="1" ht="98.25" customHeight="1" x14ac:dyDescent="0.3">
      <c r="B76" s="71"/>
      <c r="C76" s="71" t="s">
        <v>394</v>
      </c>
      <c r="D76" s="71" t="s">
        <v>394</v>
      </c>
      <c r="E76" s="71">
        <f t="shared" si="3"/>
        <v>70</v>
      </c>
      <c r="F76" s="71" t="s">
        <v>17</v>
      </c>
      <c r="G76" s="88" t="str">
        <f>IFERROR(VLOOKUP($C76,Tablas1!$B$3:$C$25,2,0),"ERROR")</f>
        <v>ERROR</v>
      </c>
      <c r="H76" s="89" t="str">
        <f>IFERROR(VLOOKUP(F76,Tablas1!$H$2:$I$10,2,0),"ERROR")</f>
        <v>FAC2</v>
      </c>
      <c r="I76" s="88" t="s">
        <v>292</v>
      </c>
      <c r="J76" s="73"/>
      <c r="K76" s="73" t="s">
        <v>154</v>
      </c>
      <c r="L76" s="73" t="s">
        <v>154</v>
      </c>
      <c r="M76" s="73" t="s">
        <v>154</v>
      </c>
      <c r="N76" s="72" t="s">
        <v>293</v>
      </c>
      <c r="O76" s="72" t="str">
        <f>VLOOKUP(CONCATENATE(IF(J76="X",1,0),IF(K76="X",2,0),IF(L76="X",3,0),IF(M76="X",4,0)),Puntuaciones!$I$15:$N$67,6,0)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76" s="70"/>
      <c r="Q76" s="86"/>
      <c r="R76" s="86"/>
      <c r="S76" s="86"/>
      <c r="T76" s="86"/>
      <c r="U76" s="87"/>
      <c r="V76" s="74"/>
      <c r="W76" s="75"/>
      <c r="X76" s="76"/>
      <c r="AB76" s="23"/>
      <c r="AC76" s="23"/>
      <c r="AH76" s="3"/>
    </row>
    <row r="77" spans="2:34" s="21" customFormat="1" ht="98.25" customHeight="1" x14ac:dyDescent="0.3">
      <c r="B77" s="71"/>
      <c r="C77" s="71" t="s">
        <v>394</v>
      </c>
      <c r="D77" s="71" t="s">
        <v>394</v>
      </c>
      <c r="E77" s="71">
        <f t="shared" si="3"/>
        <v>71</v>
      </c>
      <c r="F77" s="71" t="s">
        <v>37</v>
      </c>
      <c r="G77" s="88" t="str">
        <f>IFERROR(VLOOKUP($C77,Tablas1!$B$3:$C$25,2,0),"ERROR")</f>
        <v>ERROR</v>
      </c>
      <c r="H77" s="89" t="str">
        <f>IFERROR(VLOOKUP(F77,Tablas1!$H$2:$I$10,2,0),"ERROR")</f>
        <v>FAC5</v>
      </c>
      <c r="I77" s="88" t="s">
        <v>397</v>
      </c>
      <c r="J77" s="73" t="s">
        <v>154</v>
      </c>
      <c r="K77" s="73" t="s">
        <v>154</v>
      </c>
      <c r="L77" s="73" t="s">
        <v>154</v>
      </c>
      <c r="M77" s="73" t="s">
        <v>154</v>
      </c>
      <c r="N77" s="72" t="s">
        <v>320</v>
      </c>
      <c r="O77" s="72" t="str">
        <f>VLOOKUP(CONCATENATE(IF(J77="X",1,0),IF(K77="X",2,0),IF(L77="X",3,0),IF(M77="X",4,0)),Puntuaciones!$I$15:$N$67,6,0)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77" s="70"/>
      <c r="Q77" s="86"/>
      <c r="R77" s="86"/>
      <c r="S77" s="86"/>
      <c r="T77" s="86"/>
      <c r="U77" s="87"/>
      <c r="V77" s="74"/>
      <c r="W77" s="75"/>
      <c r="X77" s="76"/>
      <c r="AB77" s="23"/>
      <c r="AC77" s="23"/>
      <c r="AH77" s="3"/>
    </row>
    <row r="78" spans="2:34" s="21" customFormat="1" ht="98.25" customHeight="1" x14ac:dyDescent="0.3">
      <c r="B78" s="71"/>
      <c r="C78" s="71" t="s">
        <v>394</v>
      </c>
      <c r="D78" s="71" t="s">
        <v>394</v>
      </c>
      <c r="E78" s="71">
        <f t="shared" si="3"/>
        <v>72</v>
      </c>
      <c r="F78" s="71" t="s">
        <v>289</v>
      </c>
      <c r="G78" s="88" t="str">
        <f>IFERROR(VLOOKUP($C78,Tablas1!$B$3:$C$25,2,0),"ERROR")</f>
        <v>ERROR</v>
      </c>
      <c r="H78" s="89" t="str">
        <f>IFERROR(VLOOKUP(F78,Tablas1!$H$2:$I$10,2,0),"ERROR")</f>
        <v>ERROR</v>
      </c>
      <c r="I78" s="88" t="s">
        <v>290</v>
      </c>
      <c r="J78" s="73"/>
      <c r="K78" s="73" t="s">
        <v>154</v>
      </c>
      <c r="L78" s="73" t="s">
        <v>154</v>
      </c>
      <c r="M78" s="73" t="s">
        <v>154</v>
      </c>
      <c r="N78" s="72" t="s">
        <v>291</v>
      </c>
      <c r="O78" s="72" t="str">
        <f>VLOOKUP(CONCATENATE(IF(J78="X",1,0),IF(K78="X",2,0),IF(L78="X",3,0),IF(M78="X",4,0)),Puntuaciones!$I$15:$N$67,6,0)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v>
      </c>
      <c r="P78" s="70"/>
      <c r="Q78" s="86"/>
      <c r="R78" s="86"/>
      <c r="S78" s="86"/>
      <c r="T78" s="86"/>
      <c r="U78" s="87"/>
      <c r="V78" s="74"/>
      <c r="W78" s="75"/>
      <c r="X78" s="76"/>
      <c r="AB78" s="23"/>
      <c r="AC78" s="23"/>
      <c r="AH78" s="3"/>
    </row>
    <row r="79" spans="2:34" s="21" customFormat="1" ht="98.25" customHeight="1" x14ac:dyDescent="0.3">
      <c r="B79" s="71"/>
      <c r="C79" s="71" t="s">
        <v>398</v>
      </c>
      <c r="D79" s="71" t="s">
        <v>398</v>
      </c>
      <c r="E79" s="71">
        <f t="shared" si="3"/>
        <v>73</v>
      </c>
      <c r="F79" s="71" t="s">
        <v>37</v>
      </c>
      <c r="G79" s="88" t="str">
        <f>IFERROR(VLOOKUP($C79,Tablas1!$B$3:$C$25,2,0),"ERROR")</f>
        <v>ERROR</v>
      </c>
      <c r="H79" s="89" t="str">
        <f>IFERROR(VLOOKUP(F79,Tablas1!$H$2:$I$10,2,0),"ERROR")</f>
        <v>FAC5</v>
      </c>
      <c r="I79" s="88" t="s">
        <v>399</v>
      </c>
      <c r="J79" s="73" t="s">
        <v>154</v>
      </c>
      <c r="K79" s="73" t="s">
        <v>154</v>
      </c>
      <c r="L79" s="73" t="s">
        <v>154</v>
      </c>
      <c r="M79" s="73" t="s">
        <v>154</v>
      </c>
      <c r="N79" s="72" t="s">
        <v>320</v>
      </c>
      <c r="O79" s="72" t="str">
        <f>VLOOKUP(CONCATENATE(IF(J79="X",1,0),IF(K79="X",2,0),IF(L79="X",3,0),IF(M79="X",4,0)),Puntuaciones!$I$15:$N$67,6,0)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79" s="70"/>
      <c r="Q79" s="86"/>
      <c r="R79" s="86"/>
      <c r="S79" s="86"/>
      <c r="T79" s="86"/>
      <c r="U79" s="87"/>
      <c r="V79" s="74"/>
      <c r="W79" s="75"/>
      <c r="X79" s="76"/>
      <c r="AB79" s="23"/>
      <c r="AC79" s="23"/>
      <c r="AH79" s="3"/>
    </row>
    <row r="80" spans="2:34" s="21" customFormat="1" ht="98.25" customHeight="1" x14ac:dyDescent="0.3">
      <c r="B80" s="71"/>
      <c r="C80" s="71" t="s">
        <v>398</v>
      </c>
      <c r="D80" s="71" t="s">
        <v>398</v>
      </c>
      <c r="E80" s="71">
        <f t="shared" si="3"/>
        <v>74</v>
      </c>
      <c r="F80" s="71" t="s">
        <v>289</v>
      </c>
      <c r="G80" s="88" t="str">
        <f>IFERROR(VLOOKUP($C80,Tablas1!$B$3:$C$25,2,0),"ERROR")</f>
        <v>ERROR</v>
      </c>
      <c r="H80" s="89" t="str">
        <f>IFERROR(VLOOKUP(F80,Tablas1!$H$2:$I$10,2,0),"ERROR")</f>
        <v>ERROR</v>
      </c>
      <c r="I80" s="88" t="s">
        <v>400</v>
      </c>
      <c r="J80" s="73" t="s">
        <v>154</v>
      </c>
      <c r="K80" s="73" t="s">
        <v>154</v>
      </c>
      <c r="L80" s="73" t="s">
        <v>154</v>
      </c>
      <c r="M80" s="73" t="s">
        <v>154</v>
      </c>
      <c r="N80" s="72" t="s">
        <v>291</v>
      </c>
      <c r="O80" s="72" t="str">
        <f>VLOOKUP(CONCATENATE(IF(J80="X",1,0),IF(K80="X",2,0),IF(L80="X",3,0),IF(M80="X",4,0)),Puntuaciones!$I$15:$N$67,6,0)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80" s="70"/>
      <c r="Q80" s="86"/>
      <c r="R80" s="86"/>
      <c r="S80" s="86"/>
      <c r="T80" s="86"/>
      <c r="U80" s="87"/>
      <c r="V80" s="74"/>
      <c r="W80" s="75"/>
      <c r="X80" s="76"/>
      <c r="AB80" s="23"/>
      <c r="AC80" s="23"/>
      <c r="AH80" s="3"/>
    </row>
    <row r="81" spans="2:34" s="21" customFormat="1" ht="98.25" customHeight="1" x14ac:dyDescent="0.3">
      <c r="B81" s="71"/>
      <c r="C81" s="71" t="s">
        <v>401</v>
      </c>
      <c r="D81" s="71" t="s">
        <v>401</v>
      </c>
      <c r="E81" s="71">
        <f t="shared" si="3"/>
        <v>75</v>
      </c>
      <c r="F81" s="71" t="s">
        <v>37</v>
      </c>
      <c r="G81" s="88" t="str">
        <f>IFERROR(VLOOKUP($C81,Tablas1!$B$3:$C$25,2,0),"ERROR")</f>
        <v>ERROR</v>
      </c>
      <c r="H81" s="89" t="str">
        <f>IFERROR(VLOOKUP(F81,Tablas1!$H$2:$I$10,2,0),"ERROR")</f>
        <v>FAC5</v>
      </c>
      <c r="I81" s="88" t="s">
        <v>402</v>
      </c>
      <c r="J81" s="73" t="s">
        <v>154</v>
      </c>
      <c r="K81" s="73" t="s">
        <v>154</v>
      </c>
      <c r="L81" s="73" t="s">
        <v>154</v>
      </c>
      <c r="M81" s="73" t="s">
        <v>154</v>
      </c>
      <c r="N81" s="72" t="s">
        <v>320</v>
      </c>
      <c r="O81" s="72" t="str">
        <f>VLOOKUP(CONCATENATE(IF(J81="X",1,0),IF(K81="X",2,0),IF(L81="X",3,0),IF(M81="X",4,0)),Puntuaciones!$I$15:$N$67,6,0)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81" s="70"/>
      <c r="Q81" s="86"/>
      <c r="R81" s="86"/>
      <c r="S81" s="86"/>
      <c r="T81" s="86"/>
      <c r="U81" s="87"/>
      <c r="V81" s="74"/>
      <c r="W81" s="75"/>
      <c r="X81" s="76"/>
      <c r="AB81" s="23"/>
      <c r="AC81" s="23"/>
      <c r="AH81" s="3"/>
    </row>
    <row r="82" spans="2:34" s="21" customFormat="1" ht="98.25" customHeight="1" x14ac:dyDescent="0.3">
      <c r="B82" s="71"/>
      <c r="C82" s="71" t="s">
        <v>401</v>
      </c>
      <c r="D82" s="71" t="s">
        <v>401</v>
      </c>
      <c r="E82" s="71">
        <f t="shared" si="3"/>
        <v>76</v>
      </c>
      <c r="F82" s="71" t="s">
        <v>289</v>
      </c>
      <c r="G82" s="88" t="str">
        <f>IFERROR(VLOOKUP($C82,Tablas1!$B$3:$C$25,2,0),"ERROR")</f>
        <v>ERROR</v>
      </c>
      <c r="H82" s="89" t="str">
        <f>IFERROR(VLOOKUP(F82,Tablas1!$H$2:$I$10,2,0),"ERROR")</f>
        <v>ERROR</v>
      </c>
      <c r="I82" s="88" t="s">
        <v>403</v>
      </c>
      <c r="J82" s="73" t="s">
        <v>154</v>
      </c>
      <c r="K82" s="73" t="s">
        <v>154</v>
      </c>
      <c r="L82" s="73" t="s">
        <v>154</v>
      </c>
      <c r="M82" s="73" t="s">
        <v>154</v>
      </c>
      <c r="N82" s="72" t="s">
        <v>291</v>
      </c>
      <c r="O82" s="72" t="str">
        <f>VLOOKUP(CONCATENATE(IF(J82="X",1,0),IF(K82="X",2,0),IF(L82="X",3,0),IF(M82="X",4,0)),Puntuaciones!$I$15:$N$67,6,0)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82" s="70"/>
      <c r="Q82" s="86"/>
      <c r="R82" s="86"/>
      <c r="S82" s="86"/>
      <c r="T82" s="86"/>
      <c r="U82" s="87"/>
      <c r="V82" s="74"/>
      <c r="W82" s="75"/>
      <c r="X82" s="76"/>
      <c r="AB82" s="23"/>
      <c r="AC82" s="23"/>
      <c r="AH82" s="3"/>
    </row>
    <row r="83" spans="2:34" s="21" customFormat="1" ht="98.25" customHeight="1" x14ac:dyDescent="0.3">
      <c r="B83" s="71"/>
      <c r="C83" s="71" t="s">
        <v>404</v>
      </c>
      <c r="D83" s="71" t="s">
        <v>404</v>
      </c>
      <c r="E83" s="71">
        <f t="shared" ref="E83:E89" si="5">ROW(C83)-6</f>
        <v>77</v>
      </c>
      <c r="F83" s="71" t="s">
        <v>37</v>
      </c>
      <c r="G83" s="88" t="str">
        <f>IFERROR(VLOOKUP($C83,Tablas1!$B$3:$C$25,2,0),"ERROR")</f>
        <v>ERROR</v>
      </c>
      <c r="H83" s="89" t="str">
        <f>IFERROR(VLOOKUP(F83,Tablas1!$H$2:$I$10,2,0),"ERROR")</f>
        <v>FAC5</v>
      </c>
      <c r="I83" s="88" t="s">
        <v>405</v>
      </c>
      <c r="J83" s="73" t="s">
        <v>154</v>
      </c>
      <c r="K83" s="73" t="s">
        <v>154</v>
      </c>
      <c r="L83" s="73" t="s">
        <v>154</v>
      </c>
      <c r="M83" s="73" t="s">
        <v>154</v>
      </c>
      <c r="N83" s="72" t="s">
        <v>320</v>
      </c>
      <c r="O83" s="72" t="str">
        <f>VLOOKUP(CONCATENATE(IF(J83="X",1,0),IF(K83="X",2,0),IF(L83="X",3,0),IF(M83="X",4,0)),Puntuaciones!$I$15:$N$67,6,0)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83" s="70"/>
      <c r="Q83" s="86"/>
      <c r="R83" s="86"/>
      <c r="S83" s="86"/>
      <c r="T83" s="86"/>
      <c r="U83" s="87"/>
      <c r="V83" s="74"/>
      <c r="W83" s="75"/>
      <c r="X83" s="76"/>
      <c r="AB83" s="23"/>
      <c r="AC83" s="23"/>
      <c r="AH83" s="3"/>
    </row>
    <row r="84" spans="2:34" s="21" customFormat="1" ht="98.25" customHeight="1" x14ac:dyDescent="0.3">
      <c r="B84" s="71"/>
      <c r="C84" s="71" t="s">
        <v>404</v>
      </c>
      <c r="D84" s="71" t="s">
        <v>404</v>
      </c>
      <c r="E84" s="71">
        <f t="shared" si="5"/>
        <v>78</v>
      </c>
      <c r="F84" s="71" t="s">
        <v>37</v>
      </c>
      <c r="G84" s="88" t="str">
        <f>IFERROR(VLOOKUP($C84,Tablas1!$B$3:$C$25,2,0),"ERROR")</f>
        <v>ERROR</v>
      </c>
      <c r="H84" s="89" t="str">
        <f>IFERROR(VLOOKUP(F84,Tablas1!$H$2:$I$10,2,0),"ERROR")</f>
        <v>FAC5</v>
      </c>
      <c r="I84" s="88" t="s">
        <v>406</v>
      </c>
      <c r="J84" s="73" t="s">
        <v>154</v>
      </c>
      <c r="K84" s="73" t="s">
        <v>154</v>
      </c>
      <c r="L84" s="73" t="s">
        <v>154</v>
      </c>
      <c r="M84" s="73" t="s">
        <v>154</v>
      </c>
      <c r="N84" s="72" t="s">
        <v>320</v>
      </c>
      <c r="O84" s="72" t="str">
        <f>VLOOKUP(CONCATENATE(IF(J84="X",1,0),IF(K84="X",2,0),IF(L84="X",3,0),IF(M84="X",4,0)),Puntuaciones!$I$15:$N$67,6,0)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84" s="70"/>
      <c r="Q84" s="86"/>
      <c r="R84" s="86"/>
      <c r="S84" s="86"/>
      <c r="T84" s="86"/>
      <c r="U84" s="87"/>
      <c r="V84" s="74"/>
      <c r="W84" s="75"/>
      <c r="X84" s="76"/>
      <c r="AB84" s="23"/>
      <c r="AC84" s="23"/>
      <c r="AH84" s="3"/>
    </row>
    <row r="85" spans="2:34" s="21" customFormat="1" ht="98.25" customHeight="1" x14ac:dyDescent="0.3">
      <c r="B85" s="71"/>
      <c r="C85" s="71" t="s">
        <v>404</v>
      </c>
      <c r="D85" s="71" t="s">
        <v>404</v>
      </c>
      <c r="E85" s="71">
        <f t="shared" si="5"/>
        <v>79</v>
      </c>
      <c r="F85" s="71" t="s">
        <v>289</v>
      </c>
      <c r="G85" s="88" t="str">
        <f>IFERROR(VLOOKUP($C85,Tablas1!$B$3:$C$25,2,0),"ERROR")</f>
        <v>ERROR</v>
      </c>
      <c r="H85" s="89" t="str">
        <f>IFERROR(VLOOKUP(F85,Tablas1!$H$2:$I$10,2,0),"ERROR")</f>
        <v>ERROR</v>
      </c>
      <c r="I85" s="88" t="s">
        <v>407</v>
      </c>
      <c r="J85" s="73" t="s">
        <v>154</v>
      </c>
      <c r="K85" s="73" t="s">
        <v>154</v>
      </c>
      <c r="L85" s="73" t="s">
        <v>154</v>
      </c>
      <c r="M85" s="73" t="s">
        <v>154</v>
      </c>
      <c r="N85" s="72" t="s">
        <v>291</v>
      </c>
      <c r="O85" s="72" t="str">
        <f>VLOOKUP(CONCATENATE(IF(J85="X",1,0),IF(K85="X",2,0),IF(L85="X",3,0),IF(M85="X",4,0)),Puntuaciones!$I$15:$N$67,6,0)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85" s="70"/>
      <c r="Q85" s="86"/>
      <c r="R85" s="86"/>
      <c r="S85" s="86"/>
      <c r="T85" s="86"/>
      <c r="U85" s="87"/>
      <c r="V85" s="74"/>
      <c r="W85" s="75"/>
      <c r="X85" s="76"/>
      <c r="AB85" s="23"/>
      <c r="AC85" s="23"/>
      <c r="AH85" s="3"/>
    </row>
    <row r="86" spans="2:34" s="21" customFormat="1" ht="98.25" customHeight="1" x14ac:dyDescent="0.3">
      <c r="B86" s="71"/>
      <c r="C86" s="71" t="s">
        <v>408</v>
      </c>
      <c r="D86" s="71" t="s">
        <v>408</v>
      </c>
      <c r="E86" s="71">
        <f t="shared" si="5"/>
        <v>80</v>
      </c>
      <c r="F86" s="71" t="s">
        <v>37</v>
      </c>
      <c r="G86" s="88" t="str">
        <f>IFERROR(VLOOKUP($C86,Tablas1!$B$3:$C$25,2,0),"ERROR")</f>
        <v>ERROR</v>
      </c>
      <c r="H86" s="89" t="str">
        <f>IFERROR(VLOOKUP(F86,Tablas1!$H$2:$I$10,2,0),"ERROR")</f>
        <v>FAC5</v>
      </c>
      <c r="I86" s="88" t="s">
        <v>409</v>
      </c>
      <c r="J86" s="73" t="s">
        <v>154</v>
      </c>
      <c r="K86" s="73" t="s">
        <v>154</v>
      </c>
      <c r="L86" s="73" t="s">
        <v>154</v>
      </c>
      <c r="M86" s="73" t="s">
        <v>154</v>
      </c>
      <c r="N86" s="72" t="s">
        <v>320</v>
      </c>
      <c r="O86" s="72" t="str">
        <f>VLOOKUP(CONCATENATE(IF(J86="X",1,0),IF(K86="X",2,0),IF(L86="X",3,0),IF(M86="X",4,0)),Puntuaciones!$I$15:$N$67,6,0)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86" s="70"/>
      <c r="Q86" s="86"/>
      <c r="R86" s="86"/>
      <c r="S86" s="86"/>
      <c r="T86" s="86"/>
      <c r="U86" s="87"/>
      <c r="V86" s="74"/>
      <c r="W86" s="75"/>
      <c r="X86" s="76"/>
      <c r="AB86" s="23"/>
      <c r="AC86" s="23"/>
      <c r="AH86" s="3"/>
    </row>
    <row r="87" spans="2:34" s="21" customFormat="1" ht="98.25" customHeight="1" x14ac:dyDescent="0.3">
      <c r="B87" s="71"/>
      <c r="C87" s="71" t="s">
        <v>408</v>
      </c>
      <c r="D87" s="71" t="s">
        <v>408</v>
      </c>
      <c r="E87" s="71">
        <f t="shared" si="5"/>
        <v>81</v>
      </c>
      <c r="F87" s="71" t="s">
        <v>289</v>
      </c>
      <c r="G87" s="88" t="str">
        <f>IFERROR(VLOOKUP($C87,Tablas1!$B$3:$C$25,2,0),"ERROR")</f>
        <v>ERROR</v>
      </c>
      <c r="H87" s="89" t="str">
        <f>IFERROR(VLOOKUP(F87,Tablas1!$H$2:$I$10,2,0),"ERROR")</f>
        <v>ERROR</v>
      </c>
      <c r="I87" s="88" t="s">
        <v>410</v>
      </c>
      <c r="J87" s="73" t="s">
        <v>154</v>
      </c>
      <c r="K87" s="73" t="s">
        <v>154</v>
      </c>
      <c r="L87" s="73" t="s">
        <v>154</v>
      </c>
      <c r="M87" s="73" t="s">
        <v>154</v>
      </c>
      <c r="N87" s="72" t="s">
        <v>291</v>
      </c>
      <c r="O87" s="72" t="str">
        <f>VLOOKUP(CONCATENATE(IF(J87="X",1,0),IF(K87="X",2,0),IF(L87="X",3,0),IF(M87="X",4,0)),Puntuaciones!$I$15:$N$67,6,0)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87" s="70"/>
      <c r="Q87" s="86"/>
      <c r="R87" s="86"/>
      <c r="S87" s="86"/>
      <c r="T87" s="86"/>
      <c r="U87" s="87"/>
      <c r="V87" s="74"/>
      <c r="W87" s="75"/>
      <c r="X87" s="76"/>
      <c r="AB87" s="23"/>
      <c r="AC87" s="23"/>
      <c r="AH87" s="3"/>
    </row>
    <row r="88" spans="2:34" s="21" customFormat="1" ht="98.25" customHeight="1" x14ac:dyDescent="0.3">
      <c r="B88" s="71"/>
      <c r="C88" s="71" t="s">
        <v>411</v>
      </c>
      <c r="D88" s="71" t="s">
        <v>411</v>
      </c>
      <c r="E88" s="71">
        <f t="shared" si="5"/>
        <v>82</v>
      </c>
      <c r="F88" s="71" t="s">
        <v>37</v>
      </c>
      <c r="G88" s="88" t="str">
        <f>IFERROR(VLOOKUP($C88,Tablas1!$B$3:$C$25,2,0),"ERROR")</f>
        <v>ERROR</v>
      </c>
      <c r="H88" s="89" t="str">
        <f>IFERROR(VLOOKUP(F88,Tablas1!$H$2:$I$10,2,0),"ERROR")</f>
        <v>FAC5</v>
      </c>
      <c r="I88" s="88" t="s">
        <v>412</v>
      </c>
      <c r="J88" s="73" t="s">
        <v>154</v>
      </c>
      <c r="K88" s="73" t="s">
        <v>154</v>
      </c>
      <c r="L88" s="73" t="s">
        <v>154</v>
      </c>
      <c r="M88" s="73" t="s">
        <v>154</v>
      </c>
      <c r="N88" s="72" t="s">
        <v>320</v>
      </c>
      <c r="O88" s="72" t="str">
        <f>VLOOKUP(CONCATENATE(IF(J88="X",1,0),IF(K88="X",2,0),IF(L88="X",3,0),IF(M88="X",4,0)),Puntuaciones!$I$15:$N$67,6,0)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88" s="70"/>
      <c r="Q88" s="86"/>
      <c r="R88" s="86"/>
      <c r="S88" s="86"/>
      <c r="T88" s="86"/>
      <c r="U88" s="87"/>
      <c r="V88" s="74"/>
      <c r="W88" s="75"/>
      <c r="X88" s="76"/>
      <c r="AB88" s="23"/>
      <c r="AC88" s="23"/>
      <c r="AH88" s="3"/>
    </row>
    <row r="89" spans="2:34" s="21" customFormat="1" ht="98.25" customHeight="1" x14ac:dyDescent="0.3">
      <c r="B89" s="71"/>
      <c r="C89" s="71" t="s">
        <v>411</v>
      </c>
      <c r="D89" s="71" t="s">
        <v>411</v>
      </c>
      <c r="E89" s="71">
        <f t="shared" si="5"/>
        <v>83</v>
      </c>
      <c r="F89" s="71" t="s">
        <v>289</v>
      </c>
      <c r="G89" s="88" t="str">
        <f>IFERROR(VLOOKUP($C89,Tablas1!$B$3:$C$25,2,0),"ERROR")</f>
        <v>ERROR</v>
      </c>
      <c r="H89" s="89" t="str">
        <f>IFERROR(VLOOKUP(F89,Tablas1!$H$2:$I$10,2,0),"ERROR")</f>
        <v>ERROR</v>
      </c>
      <c r="I89" s="88" t="s">
        <v>413</v>
      </c>
      <c r="J89" s="73" t="s">
        <v>154</v>
      </c>
      <c r="K89" s="73" t="s">
        <v>154</v>
      </c>
      <c r="L89" s="73" t="s">
        <v>154</v>
      </c>
      <c r="M89" s="73" t="s">
        <v>154</v>
      </c>
      <c r="N89" s="72" t="s">
        <v>291</v>
      </c>
      <c r="O89" s="72" t="str">
        <f>VLOOKUP(CONCATENATE(IF(J89="X",1,0),IF(K89="X",2,0),IF(L89="X",3,0),IF(M89="X",4,0)),Puntuaciones!$I$15:$N$67,6,0)</f>
        <v xml:space="preserve">1. Sanciones por parte del supervisor, regulador y/o entes de control -Apertura de procesos disciplinarios, judiciales y/o legales.
2. Impacto negativo en la imagen institucional y/o pérdida de reputación.
3. Deterioro de los procesos operativos.
4. Pérdida de mercado de la Lotería de Bogotá.
5. Efecto de contagio que afecta a la Lotería de Bogotá por efecto rebote.
</v>
      </c>
      <c r="P89" s="70"/>
      <c r="Q89" s="86"/>
      <c r="R89" s="86"/>
      <c r="S89" s="86"/>
      <c r="T89" s="86"/>
      <c r="U89" s="87"/>
      <c r="V89" s="74"/>
      <c r="W89" s="75"/>
      <c r="X89" s="76"/>
      <c r="AB89" s="23"/>
      <c r="AC89" s="23"/>
      <c r="AH89" s="3"/>
    </row>
  </sheetData>
  <autoFilter ref="B1:AH89"/>
  <dataConsolidate/>
  <conditionalFormatting sqref="E2 E10:E12 E14:E16">
    <cfRule type="duplicateValues" dxfId="110" priority="82"/>
  </conditionalFormatting>
  <conditionalFormatting sqref="E3:E5">
    <cfRule type="duplicateValues" dxfId="109" priority="72"/>
  </conditionalFormatting>
  <conditionalFormatting sqref="E6:E10">
    <cfRule type="duplicateValues" dxfId="108" priority="63"/>
  </conditionalFormatting>
  <conditionalFormatting sqref="E13">
    <cfRule type="duplicateValues" dxfId="107" priority="26"/>
  </conditionalFormatting>
  <conditionalFormatting sqref="E17">
    <cfRule type="duplicateValues" dxfId="106" priority="62"/>
  </conditionalFormatting>
  <conditionalFormatting sqref="E18">
    <cfRule type="duplicateValues" dxfId="105" priority="53"/>
  </conditionalFormatting>
  <conditionalFormatting sqref="E19">
    <cfRule type="duplicateValues" dxfId="104" priority="44"/>
  </conditionalFormatting>
  <conditionalFormatting sqref="E20:E31 E33:E35 E40:E51 E54 E37">
    <cfRule type="duplicateValues" dxfId="103" priority="85"/>
  </conditionalFormatting>
  <conditionalFormatting sqref="E32">
    <cfRule type="duplicateValues" dxfId="102" priority="27"/>
  </conditionalFormatting>
  <conditionalFormatting sqref="E36">
    <cfRule type="duplicateValues" dxfId="101" priority="11"/>
  </conditionalFormatting>
  <conditionalFormatting sqref="E38">
    <cfRule type="duplicateValues" dxfId="100" priority="25"/>
  </conditionalFormatting>
  <conditionalFormatting sqref="E39">
    <cfRule type="duplicateValues" dxfId="99" priority="24"/>
  </conditionalFormatting>
  <conditionalFormatting sqref="E52">
    <cfRule type="duplicateValues" dxfId="98" priority="83"/>
  </conditionalFormatting>
  <conditionalFormatting sqref="E53">
    <cfRule type="duplicateValues" dxfId="97" priority="23"/>
  </conditionalFormatting>
  <conditionalFormatting sqref="E55">
    <cfRule type="duplicateValues" dxfId="96" priority="22"/>
  </conditionalFormatting>
  <conditionalFormatting sqref="E56">
    <cfRule type="duplicateValues" dxfId="95" priority="84"/>
  </conditionalFormatting>
  <conditionalFormatting sqref="E57">
    <cfRule type="duplicateValues" dxfId="94" priority="17"/>
  </conditionalFormatting>
  <conditionalFormatting sqref="E58">
    <cfRule type="duplicateValues" dxfId="93" priority="16"/>
  </conditionalFormatting>
  <conditionalFormatting sqref="E59">
    <cfRule type="duplicateValues" dxfId="92" priority="15"/>
  </conditionalFormatting>
  <conditionalFormatting sqref="E60">
    <cfRule type="duplicateValues" dxfId="91" priority="14"/>
  </conditionalFormatting>
  <conditionalFormatting sqref="E61">
    <cfRule type="duplicateValues" dxfId="90" priority="21"/>
  </conditionalFormatting>
  <conditionalFormatting sqref="E62">
    <cfRule type="duplicateValues" dxfId="89" priority="20"/>
  </conditionalFormatting>
  <conditionalFormatting sqref="E63">
    <cfRule type="duplicateValues" dxfId="88" priority="19"/>
  </conditionalFormatting>
  <conditionalFormatting sqref="E64">
    <cfRule type="duplicateValues" dxfId="87" priority="18"/>
  </conditionalFormatting>
  <conditionalFormatting sqref="E65">
    <cfRule type="duplicateValues" dxfId="86" priority="13"/>
  </conditionalFormatting>
  <conditionalFormatting sqref="E66:E67">
    <cfRule type="duplicateValues" dxfId="85" priority="12"/>
  </conditionalFormatting>
  <conditionalFormatting sqref="E68">
    <cfRule type="duplicateValues" dxfId="84" priority="87"/>
  </conditionalFormatting>
  <conditionalFormatting sqref="E69">
    <cfRule type="duplicateValues" dxfId="83" priority="10"/>
  </conditionalFormatting>
  <conditionalFormatting sqref="E70:E78">
    <cfRule type="duplicateValues" dxfId="82" priority="88"/>
  </conditionalFormatting>
  <conditionalFormatting sqref="E79:E80">
    <cfRule type="duplicateValues" dxfId="81" priority="9"/>
  </conditionalFormatting>
  <conditionalFormatting sqref="E81:E82">
    <cfRule type="duplicateValues" dxfId="80" priority="8"/>
  </conditionalFormatting>
  <conditionalFormatting sqref="E83:E85">
    <cfRule type="duplicateValues" dxfId="79" priority="7"/>
  </conditionalFormatting>
  <conditionalFormatting sqref="E86:E87">
    <cfRule type="duplicateValues" dxfId="78" priority="6"/>
  </conditionalFormatting>
  <conditionalFormatting sqref="E88:E89">
    <cfRule type="duplicateValues" dxfId="77" priority="5"/>
  </conditionalFormatting>
  <conditionalFormatting sqref="E90:F1048576">
    <cfRule type="duplicateValues" dxfId="76" priority="86"/>
  </conditionalFormatting>
  <conditionalFormatting sqref="W1:W89">
    <cfRule type="cellIs" dxfId="75" priority="1" operator="equal">
      <formula>"BAJO"</formula>
    </cfRule>
    <cfRule type="cellIs" dxfId="74" priority="2" operator="equal">
      <formula>"MEDIO"</formula>
    </cfRule>
    <cfRule type="cellIs" dxfId="73" priority="3" operator="equal">
      <formula>"EXTREMO"</formula>
    </cfRule>
    <cfRule type="cellIs" dxfId="72" priority="4" operator="equal">
      <formula>"ALTO"</formula>
    </cfRule>
  </conditionalFormatting>
  <conditionalFormatting sqref="W2:W89">
    <cfRule type="cellIs" dxfId="71" priority="34" operator="equal">
      <formula>"EXTREMO"</formula>
    </cfRule>
  </conditionalFormatting>
  <conditionalFormatting sqref="Z17:AB17">
    <cfRule type="cellIs" dxfId="70" priority="81" operator="equal">
      <formula>0</formula>
    </cfRule>
  </conditionalFormatting>
  <dataValidations count="6">
    <dataValidation type="list" operator="greaterThanOrEqual" allowBlank="1" showInputMessage="1" showErrorMessage="1" sqref="Q90:U1048576 Q2:T89">
      <formula1>"0,1,2,3,4,5"</formula1>
    </dataValidation>
    <dataValidation type="list" allowBlank="1" showInputMessage="1" showErrorMessage="1" sqref="C90:C1048576">
      <formula1>$C$1:$C$1</formula1>
    </dataValidation>
    <dataValidation type="list" allowBlank="1" showInputMessage="1" showErrorMessage="1" sqref="D90:D1048576">
      <formula1>$E$1:$E$1</formula1>
    </dataValidation>
    <dataValidation operator="greaterThanOrEqual" allowBlank="1" showInputMessage="1" showErrorMessage="1" sqref="U2:U89"/>
    <dataValidation type="list" allowBlank="1" showInputMessage="1" showErrorMessage="1" sqref="J2:M89">
      <formula1>"X"</formula1>
    </dataValidation>
    <dataValidation type="list" allowBlank="1" showInputMessage="1" showErrorMessage="1" sqref="P2:P89 V90:W1048576">
      <formula1>"1,2,3,4,5"</formula1>
    </dataValidation>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Tablas1!$C$3:$C$25</xm:f>
          </x14:formula1>
          <xm:sqref>G90:G1048576</xm:sqref>
        </x14:dataValidation>
        <x14:dataValidation type="list" allowBlank="1" showInputMessage="1" showErrorMessage="1">
          <x14:formula1>
            <xm:f>Tablas1!$B$3:$B$25</xm:f>
          </x14:formula1>
          <xm:sqref>C2:C89</xm:sqref>
        </x14:dataValidation>
        <x14:dataValidation type="list" allowBlank="1" showInputMessage="1" showErrorMessage="1">
          <x14:formula1>
            <xm:f>Tablas1!$E$3:$E$14</xm:f>
          </x14:formula1>
          <xm:sqref>D2:D89</xm:sqref>
        </x14:dataValidation>
        <x14:dataValidation type="list" allowBlank="1" showInputMessage="1" showErrorMessage="1">
          <x14:formula1>
            <xm:f>Tablas1!$I$3:$I$9</xm:f>
          </x14:formula1>
          <xm:sqref>H90:H1048576</xm:sqref>
        </x14:dataValidation>
        <x14:dataValidation type="custom" allowBlank="1" showInputMessage="1" showErrorMessage="1">
          <x14:formula1>
            <xm:f>IFERROR(VLOOKUP(#REF!,Tablas1!$H$2:$I$9,2,0),"ERROR")</xm:f>
          </x14:formula1>
          <xm:sqref>H2:H89</xm:sqref>
        </x14:dataValidation>
        <x14:dataValidation type="list" allowBlank="1" showInputMessage="1" showErrorMessage="1">
          <x14:formula1>
            <xm:f>Tablas1!$H$3:$H$9</xm:f>
          </x14:formula1>
          <xm:sqref>F2:F1048576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4:M27"/>
  <sheetViews>
    <sheetView showGridLines="0" zoomScaleNormal="100" workbookViewId="0">
      <selection activeCell="F11" sqref="F11"/>
    </sheetView>
  </sheetViews>
  <sheetFormatPr baseColWidth="10" defaultColWidth="11.54296875" defaultRowHeight="14.5" x14ac:dyDescent="0.35"/>
  <cols>
    <col min="2" max="2" width="47.7265625" style="14" customWidth="1"/>
    <col min="3" max="3" width="18.81640625" bestFit="1" customWidth="1"/>
    <col min="4" max="4" width="19.54296875" bestFit="1" customWidth="1"/>
    <col min="5" max="5" width="16.453125" customWidth="1"/>
    <col min="6" max="6" width="19.54296875" customWidth="1"/>
    <col min="8" max="8" width="46.81640625" customWidth="1"/>
    <col min="9" max="9" width="16.453125" customWidth="1"/>
    <col min="10" max="10" width="16.7265625" customWidth="1"/>
    <col min="12" max="12" width="22.26953125" customWidth="1"/>
    <col min="13" max="13" width="14.7265625" customWidth="1"/>
  </cols>
  <sheetData>
    <row r="4" spans="2:13" x14ac:dyDescent="0.35">
      <c r="C4" s="200"/>
      <c r="D4" s="200"/>
      <c r="E4" s="200"/>
      <c r="F4" s="200"/>
    </row>
    <row r="5" spans="2:13" ht="30" customHeight="1" x14ac:dyDescent="0.35">
      <c r="B5" s="164" t="s">
        <v>273</v>
      </c>
      <c r="C5" s="165" t="s">
        <v>103</v>
      </c>
      <c r="D5" s="165" t="s">
        <v>414</v>
      </c>
      <c r="E5" s="165" t="s">
        <v>415</v>
      </c>
      <c r="F5" s="166" t="s">
        <v>147</v>
      </c>
      <c r="H5" s="66" t="s">
        <v>1</v>
      </c>
      <c r="I5" s="66" t="s">
        <v>201</v>
      </c>
      <c r="J5" s="67" t="s">
        <v>202</v>
      </c>
      <c r="L5" s="67" t="s">
        <v>416</v>
      </c>
      <c r="M5" s="67" t="s">
        <v>204</v>
      </c>
    </row>
    <row r="6" spans="2:13" ht="30" customHeight="1" x14ac:dyDescent="0.35">
      <c r="B6" s="79" t="s">
        <v>11</v>
      </c>
      <c r="C6" s="119">
        <f>IFERROR(AVERAGEIF('R I'!$G$7:$G$1048576,Tableau11[[#This Row],[FACTOR DE RIESGO]],'R I'!Q$7:Q$1048576),"")</f>
        <v>2</v>
      </c>
      <c r="D6" s="119">
        <f>IFERROR(AVERAGEIF('R I'!$G$7:$G$1048576,Tableau11[[#This Row],[FACTOR DE RIESGO]],'R I'!AA$7:AA$1048576),"")</f>
        <v>4.666666666666667</v>
      </c>
      <c r="E6" s="119">
        <f t="shared" ref="E6" si="0">IFERROR(ROUND(C6*D6,0),"")</f>
        <v>9</v>
      </c>
      <c r="F6" s="18" t="str">
        <f t="shared" ref="F6" si="1">IF(AND(E6&gt;0,E6&lt;8),"BAJO",IF(AND(E6&gt;=8,E6&lt;14),"MEDIO",IF(AND(E6&gt;=14,E6&lt;20),"ALTO",IF(AND(E6&gt;=20,E6&lt;26),"EXTREMO",""))))</f>
        <v>MEDIO</v>
      </c>
      <c r="G6" s="19"/>
      <c r="H6" s="79" t="s">
        <v>14</v>
      </c>
      <c r="I6" s="119">
        <f>IFERROR(AVERAGEIF('R I'!$C$7:$C$1048576,Tableau10[[#This Row],[Procesos/Áreas de Práctica]],'R I'!$Q$7:$Q$1048576),0)</f>
        <v>3</v>
      </c>
      <c r="J6" s="119">
        <f>IFERROR(AVERAGEIF('R I'!$C$7:$C$1048576,Tableau10[[#This Row],[Procesos/Áreas de Práctica]],'R I'!$AA$7:$AA$1048576),0)</f>
        <v>4.375</v>
      </c>
      <c r="L6" s="77" t="str">
        <f>Tablas1!B27</f>
        <v>Riesgo de Contagio</v>
      </c>
      <c r="M6" s="119">
        <f>IFERROR(AVERAGE('R I'!$W$7:$W$1048576),0)</f>
        <v>3.6923076923076925</v>
      </c>
    </row>
    <row r="7" spans="2:13" ht="30" customHeight="1" x14ac:dyDescent="0.35">
      <c r="B7" s="79" t="s">
        <v>17</v>
      </c>
      <c r="C7" s="119">
        <f>IFERROR(AVERAGEIF('R I'!$G$7:$G$1048576,Tableau11[[#This Row],[FACTOR DE RIESGO]],'R I'!Q$7:Q$1048576),"")</f>
        <v>3.5</v>
      </c>
      <c r="D7" s="119">
        <f>IFERROR(AVERAGEIF('R I'!$G$7:$G$1048576,Tableau11[[#This Row],[FACTOR DE RIESGO]],'R I'!AA$7:AA$1048576),"")</f>
        <v>4.25</v>
      </c>
      <c r="E7" s="119">
        <f t="shared" ref="E7:E10" si="2">IFERROR(ROUND(C7*D7,0),"")</f>
        <v>15</v>
      </c>
      <c r="F7" s="18" t="str">
        <f t="shared" ref="F7:F12" si="3">IF(AND(E7&gt;0,E7&lt;8),"BAJO",IF(AND(E7&gt;=8,E7&lt;14),"MEDIO",IF(AND(E7&gt;=14,E7&lt;20),"ALTO",IF(AND(E7&gt;=20,E7&lt;26),"EXTREMO",""))))</f>
        <v>ALTO</v>
      </c>
      <c r="H7" s="79" t="s">
        <v>45</v>
      </c>
      <c r="I7" s="119">
        <f>IFERROR(AVERAGEIF('R I'!$C$7:$C$1048576,Tableau10[[#This Row],[Procesos/Áreas de Práctica]],'R I'!$Q$7:$Q$1048576),0)</f>
        <v>4</v>
      </c>
      <c r="J7" s="119">
        <f>IFERROR(AVERAGEIF('R I'!$C$7:$C$1048576,Tableau10[[#This Row],[Procesos/Áreas de Práctica]],'R I'!$AA$7:$AA$1048576),0)</f>
        <v>4</v>
      </c>
      <c r="L7" s="77" t="str">
        <f>Tablas1!B28</f>
        <v>Riesgo Legal</v>
      </c>
      <c r="M7" s="119">
        <f>IFERROR(AVERAGE('R I'!$X$7:$X$1048576),0)</f>
        <v>4.6923076923076925</v>
      </c>
    </row>
    <row r="8" spans="2:13" ht="30" customHeight="1" x14ac:dyDescent="0.35">
      <c r="B8" s="79" t="s">
        <v>24</v>
      </c>
      <c r="C8" s="119">
        <f>IFERROR(AVERAGEIF('R I'!$G$7:$G$1048576,Tableau11[[#This Row],[FACTOR DE RIESGO]],'R I'!Q$7:Q$1048576),"")</f>
        <v>3</v>
      </c>
      <c r="D8" s="119">
        <f>IFERROR(AVERAGEIF('R I'!$G$7:$G$1048576,Tableau11[[#This Row],[FACTOR DE RIESGO]],'R I'!AA$7:AA$1048576),"")</f>
        <v>3.25</v>
      </c>
      <c r="E8" s="119">
        <f t="shared" si="2"/>
        <v>10</v>
      </c>
      <c r="F8" s="18" t="str">
        <f>IF(AND(E8&gt;0,E8&lt;8),"BAJO",IF(AND(E8&gt;=8,E8&lt;14),"MEDIO",IF(AND(E8&gt;=14,E8&lt;20),"ALTO",IF(AND(E8&gt;=20,E8&lt;26),"EXTREMO",""))))</f>
        <v>MEDIO</v>
      </c>
      <c r="H8" s="79" t="s">
        <v>56</v>
      </c>
      <c r="I8" s="119">
        <f>IFERROR(AVERAGEIF('R I'!$C$7:$C$1048576,Tableau10[[#This Row],[Procesos/Áreas de Práctica]],'R I'!$Q$7:$Q$1048576),0)</f>
        <v>3.5</v>
      </c>
      <c r="J8" s="119">
        <f>IFERROR(AVERAGEIF('R I'!$C$7:$C$1048576,Tableau10[[#This Row],[Procesos/Áreas de Práctica]],'R I'!$AA$7:$AA$1048576),0)</f>
        <v>3.875</v>
      </c>
      <c r="L8" s="77" t="str">
        <f>Tablas1!B29</f>
        <v>Riesgo Reputacional</v>
      </c>
      <c r="M8" s="119">
        <f>IFERROR(AVERAGE('R I'!$Y$7:$Y$1048576),0)</f>
        <v>4.8461538461538458</v>
      </c>
    </row>
    <row r="9" spans="2:13" ht="30" customHeight="1" x14ac:dyDescent="0.35">
      <c r="B9" s="79" t="s">
        <v>30</v>
      </c>
      <c r="C9" s="119">
        <f>IFERROR(AVERAGEIF('R I'!$G$7:$G$1048576,Tableau11[[#This Row],[FACTOR DE RIESGO]],'R I'!Q$7:Q$1048576),"")</f>
        <v>3.5</v>
      </c>
      <c r="D9" s="119">
        <f>IFERROR(AVERAGEIF('R I'!$G$7:$G$1048576,Tableau11[[#This Row],[FACTOR DE RIESGO]],'R I'!AA$7:AA$1048576),"")</f>
        <v>4.375</v>
      </c>
      <c r="E9" s="119">
        <f t="shared" si="2"/>
        <v>15</v>
      </c>
      <c r="F9" s="18" t="str">
        <f t="shared" si="3"/>
        <v>ALTO</v>
      </c>
      <c r="H9" s="79" t="s">
        <v>69</v>
      </c>
      <c r="I9" s="119">
        <f>IFERROR(AVERAGEIF('R I'!$C$7:$C$1048576,Tableau10[[#This Row],[Procesos/Áreas de Práctica]],'R I'!$Q$7:$Q$1048576),0)</f>
        <v>4</v>
      </c>
      <c r="J9" s="119">
        <f>IFERROR(AVERAGEIF('R I'!$C$7:$C$1048576,Tableau10[[#This Row],[Procesos/Áreas de Práctica]],'R I'!$AA$7:$AA$1048576),0)</f>
        <v>5</v>
      </c>
      <c r="L9" s="77" t="str">
        <f>Tablas1!B30</f>
        <v>Riesgo Operativo</v>
      </c>
      <c r="M9" s="119">
        <f>IFERROR(AVERAGE('R I'!$Z$7:$Z$1048576),0)</f>
        <v>4</v>
      </c>
    </row>
    <row r="10" spans="2:13" ht="30" customHeight="1" x14ac:dyDescent="0.35">
      <c r="B10" s="79" t="s">
        <v>37</v>
      </c>
      <c r="C10" s="119">
        <f>IFERROR(AVERAGEIF('R I'!$G$7:$G$1048576,Tableau11[[#This Row],[FACTOR DE RIESGO]],'R I'!Q$7:Q$1048576),"")</f>
        <v>3.6666666666666665</v>
      </c>
      <c r="D10" s="119">
        <f>IFERROR(AVERAGEIF('R I'!$G$7:$G$1048576,Tableau11[[#This Row],[FACTOR DE RIESGO]],'R I'!AA$7:AA$1048576),"")</f>
        <v>4.666666666666667</v>
      </c>
      <c r="E10" s="119">
        <f t="shared" si="2"/>
        <v>17</v>
      </c>
      <c r="F10" s="18" t="str">
        <f t="shared" si="3"/>
        <v>ALTO</v>
      </c>
      <c r="H10" s="79" t="s">
        <v>64</v>
      </c>
      <c r="I10" s="119">
        <f>IFERROR(AVERAGEIF('R I'!$C$7:$C$1048576,Tableau10[[#This Row],[Procesos/Áreas de Práctica]],'R I'!$Q$7:$Q$1048576),0)</f>
        <v>4</v>
      </c>
      <c r="J10" s="119">
        <f>IFERROR(AVERAGEIF('R I'!$C$7:$C$1048576,Tableau10[[#This Row],[Procesos/Áreas de Práctica]],'R I'!$AA$7:$AA$1048576),0)</f>
        <v>4.75</v>
      </c>
      <c r="L10" s="77"/>
      <c r="M10" s="119"/>
    </row>
    <row r="11" spans="2:13" ht="30" customHeight="1" x14ac:dyDescent="0.35">
      <c r="B11" s="79" t="s">
        <v>43</v>
      </c>
      <c r="C11" s="119">
        <f>IFERROR(AVERAGEIF('R I'!$G$7:$G$1048576,Tableau11[[#This Row],[FACTOR DE RIESGO]],'R I'!Q$7:Q$1048576),"")</f>
        <v>5</v>
      </c>
      <c r="D11" s="119">
        <f>IFERROR(AVERAGEIF('R I'!$G$7:$G$1048576,Tableau11[[#This Row],[FACTOR DE RIESGO]],'R I'!AA$7:AA$1048576),"")</f>
        <v>4.5</v>
      </c>
      <c r="E11" s="119">
        <f>IFERROR(ROUND(C11*D11,0),"")</f>
        <v>23</v>
      </c>
      <c r="F11" s="18" t="str">
        <f t="shared" si="3"/>
        <v>EXTREMO</v>
      </c>
      <c r="H11" s="79" t="s">
        <v>74</v>
      </c>
      <c r="I11" s="119">
        <f>IFERROR(AVERAGEIF('R I'!$C$7:$C$1048576,Tableau10[[#This Row],[Procesos/Áreas de Práctica]],'R I'!$Q$7:$Q$1048576),0)</f>
        <v>3</v>
      </c>
      <c r="J11" s="119">
        <f>IFERROR(AVERAGEIF('R I'!$C$7:$C$1048576,Tableau10[[#This Row],[Procesos/Áreas de Práctica]],'R I'!$AA$7:$AA$1048576),0)</f>
        <v>3.25</v>
      </c>
      <c r="L11" s="77"/>
      <c r="M11" s="119"/>
    </row>
    <row r="12" spans="2:13" ht="30" customHeight="1" x14ac:dyDescent="0.35">
      <c r="B12" s="79" t="s">
        <v>48</v>
      </c>
      <c r="C12" s="119">
        <f>IFERROR(AVERAGEIF('R I'!$G$7:$G$1048576,Tableau11[[#This Row],[FACTOR DE RIESGO]],'R I'!Q$7:Q$1048576),"")</f>
        <v>5</v>
      </c>
      <c r="D12" s="119">
        <f>IFERROR(AVERAGEIF('R I'!$G$7:$G$1048576,Tableau11[[#This Row],[FACTOR DE RIESGO]],'R I'!AA$7:AA$1048576),"")</f>
        <v>4.5</v>
      </c>
      <c r="E12" s="119">
        <f t="shared" ref="E12" si="4">IFERROR(ROUND(C12*D12,0),"")</f>
        <v>23</v>
      </c>
      <c r="F12" s="18" t="str">
        <f t="shared" si="3"/>
        <v>EXTREMO</v>
      </c>
      <c r="H12" s="79" t="s">
        <v>76</v>
      </c>
      <c r="I12" s="119">
        <f>IFERROR(AVERAGEIF('R I'!$C$7:$C$1048576,Tableau10[[#This Row],[Procesos/Áreas de Práctica]],'R I'!$Q$7:$Q$1048576),0)</f>
        <v>5</v>
      </c>
      <c r="J12" s="119">
        <f>IFERROR(AVERAGEIF('R I'!$C$7:$C$1048576,Tableau10[[#This Row],[Procesos/Áreas de Práctica]],'R I'!$AA$7:$AA$1048576),0)</f>
        <v>4.5</v>
      </c>
      <c r="L12" s="77"/>
      <c r="M12" s="119"/>
    </row>
    <row r="13" spans="2:13" ht="30" customHeight="1" x14ac:dyDescent="0.35">
      <c r="B13" s="79" t="s">
        <v>52</v>
      </c>
      <c r="C13" s="119">
        <f>IFERROR(AVERAGEIF('R I'!$G$7:$G$1048576,Tableau11[[#This Row],[FACTOR DE RIESGO]],'R I'!Q$7:Q$1048576),"")</f>
        <v>3.5</v>
      </c>
      <c r="D13" s="119">
        <f>IFERROR(AVERAGEIF('R I'!$G$7:$G$1048576,Tableau11[[#This Row],[FACTOR DE RIESGO]],'R I'!AA$7:AA$1048576),"")</f>
        <v>4.375</v>
      </c>
      <c r="E13" s="119">
        <f>IFERROR(ROUND(C13*D13,0),"")</f>
        <v>15</v>
      </c>
      <c r="F13" s="18" t="str">
        <f>IF(AND(E13&gt;0,E13&lt;8),"BAJO",IF(AND(E13&gt;=8,E13&lt;14),"MEDIO",IF(AND(E13&gt;=14,E13&lt;20),"ALTO",IF(AND(E13&gt;=20,E13&lt;26),"EXTREMO",""))))</f>
        <v>ALTO</v>
      </c>
      <c r="H13" s="79" t="s">
        <v>78</v>
      </c>
      <c r="I13" s="119">
        <f>IFERROR(AVERAGEIF('R I'!$C$7:$C$1048576,Tableau10[[#This Row],[Procesos/Áreas de Práctica]],'R I'!$Q$7:$Q$1048576),0)</f>
        <v>2</v>
      </c>
      <c r="J13" s="119">
        <f>IFERROR(AVERAGEIF('R I'!$C$7:$C$1048576,Tableau10[[#This Row],[Procesos/Áreas de Práctica]],'R I'!$AA$7:$AA$1048576),0)</f>
        <v>4.666666666666667</v>
      </c>
      <c r="L13" s="77"/>
      <c r="M13" s="119"/>
    </row>
    <row r="14" spans="2:13" ht="30" customHeight="1" x14ac:dyDescent="0.35">
      <c r="H14" s="79" t="s">
        <v>9</v>
      </c>
      <c r="I14" s="119">
        <f>IFERROR(AVERAGEIF('R I'!$C$7:$C$1048576,Tableau10[[#This Row],[Procesos/Áreas de Práctica]],'R I'!$Q$7:$Q$1048576),0)</f>
        <v>3</v>
      </c>
      <c r="J14" s="119">
        <f>IFERROR(AVERAGEIF('R I'!$C$7:$C$1048576,Tableau10[[#This Row],[Procesos/Áreas de Práctica]],'R I'!$AA$7:$AA$1048576),0)</f>
        <v>5</v>
      </c>
      <c r="L14" s="77"/>
      <c r="M14" s="119"/>
    </row>
    <row r="15" spans="2:13" ht="30" customHeight="1" x14ac:dyDescent="0.35">
      <c r="L15" s="77"/>
      <c r="M15" s="119"/>
    </row>
    <row r="16" spans="2:13" ht="30" customHeight="1" x14ac:dyDescent="0.35">
      <c r="L16" s="77"/>
      <c r="M16" s="119"/>
    </row>
    <row r="17" spans="12:13" ht="30" customHeight="1" x14ac:dyDescent="0.35">
      <c r="L17" s="77"/>
      <c r="M17" s="119"/>
    </row>
    <row r="18" spans="12:13" ht="30" customHeight="1" x14ac:dyDescent="0.35">
      <c r="L18" s="77"/>
      <c r="M18" s="119"/>
    </row>
    <row r="19" spans="12:13" ht="30" customHeight="1" x14ac:dyDescent="0.35">
      <c r="L19" s="77"/>
      <c r="M19" s="119"/>
    </row>
    <row r="20" spans="12:13" ht="30" customHeight="1" x14ac:dyDescent="0.35">
      <c r="L20" s="77"/>
      <c r="M20" s="119"/>
    </row>
    <row r="21" spans="12:13" ht="34.5" customHeight="1" x14ac:dyDescent="0.35"/>
    <row r="22" spans="12:13" ht="35.25" customHeight="1" x14ac:dyDescent="0.35"/>
    <row r="23" spans="12:13" ht="31.5" customHeight="1" x14ac:dyDescent="0.35"/>
    <row r="24" spans="12:13" ht="30" customHeight="1" x14ac:dyDescent="0.35"/>
    <row r="25" spans="12:13" ht="31.5" customHeight="1" x14ac:dyDescent="0.35"/>
    <row r="26" spans="12:13" ht="31.5" customHeight="1" x14ac:dyDescent="0.35"/>
    <row r="27" spans="12:13" ht="33" customHeight="1" x14ac:dyDescent="0.35"/>
  </sheetData>
  <mergeCells count="1">
    <mergeCell ref="C4:F4"/>
  </mergeCells>
  <conditionalFormatting sqref="F1:F1048576">
    <cfRule type="cellIs" dxfId="69" priority="25" operator="equal">
      <formula>"EXTREMO"</formula>
    </cfRule>
  </conditionalFormatting>
  <conditionalFormatting sqref="F6:F13">
    <cfRule type="cellIs" dxfId="68" priority="2" operator="equal">
      <formula>"BAJO"</formula>
    </cfRule>
    <cfRule type="cellIs" dxfId="67" priority="3" operator="equal">
      <formula>"MEDIO"</formula>
    </cfRule>
    <cfRule type="cellIs" dxfId="66" priority="4" operator="equal">
      <formula>"EXTREMO"</formula>
    </cfRule>
    <cfRule type="cellIs" dxfId="65" priority="5" operator="equal">
      <formula>"ALTO"</formula>
    </cfRule>
  </conditionalFormatting>
  <conditionalFormatting sqref="F10">
    <cfRule type="cellIs" dxfId="64" priority="1" operator="equal">
      <formula>"EXTREMO"</formula>
    </cfRule>
  </conditionalFormatting>
  <pageMargins left="0.7" right="0.7" top="0.75" bottom="0.75" header="0.3" footer="0.3"/>
  <pageSetup paperSize="9" orientation="portrait" r:id="rId1"/>
  <ignoredErrors>
    <ignoredError sqref="M6:M9" calculatedColumn="1"/>
  </ignoredErrors>
  <drawing r:id="rId2"/>
  <tableParts count="3">
    <tablePart r:id="rId3"/>
    <tablePart r:id="rId4"/>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Tablas1!$H$3:$H$10</xm:f>
          </x14:formula1>
          <xm:sqref>B6:B13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V274"/>
  <sheetViews>
    <sheetView showGridLines="0" zoomScale="60" zoomScaleNormal="80" workbookViewId="0">
      <selection activeCell="D10" sqref="D10"/>
    </sheetView>
  </sheetViews>
  <sheetFormatPr baseColWidth="10" defaultColWidth="11.26953125" defaultRowHeight="13" x14ac:dyDescent="0.3"/>
  <cols>
    <col min="1" max="1" width="5.54296875" style="26" customWidth="1"/>
    <col min="2" max="2" width="13.7265625" style="25" customWidth="1"/>
    <col min="3" max="3" width="51.7265625" style="52" customWidth="1"/>
    <col min="4" max="4" width="105.81640625" style="53" customWidth="1"/>
    <col min="5" max="5" width="41.81640625" style="27" customWidth="1"/>
    <col min="6" max="6" width="15.26953125" style="27" customWidth="1"/>
    <col min="7" max="7" width="19.26953125" style="25" customWidth="1"/>
    <col min="8" max="8" width="15.81640625" style="27" customWidth="1"/>
    <col min="9" max="9" width="13.7265625" style="27" customWidth="1"/>
    <col min="10" max="10" width="27.26953125" style="27" customWidth="1"/>
    <col min="11" max="11" width="22" style="27" customWidth="1"/>
    <col min="12" max="13" width="27.26953125" style="27" customWidth="1"/>
    <col min="14" max="14" width="30.26953125" style="27" customWidth="1"/>
    <col min="15" max="15" width="18.26953125" style="27" customWidth="1"/>
    <col min="16" max="16" width="21.26953125" style="25" customWidth="1"/>
    <col min="17" max="17" width="18.81640625" style="25" customWidth="1"/>
    <col min="18" max="19" width="17" style="25" customWidth="1"/>
    <col min="20" max="20" width="18.7265625" style="27" customWidth="1"/>
    <col min="21" max="23" width="23.54296875" style="25" customWidth="1"/>
    <col min="24" max="24" width="20.26953125" style="27" bestFit="1" customWidth="1"/>
    <col min="25" max="26" width="22.7265625" style="27" customWidth="1"/>
    <col min="27" max="27" width="22.7265625" style="27" hidden="1" customWidth="1"/>
    <col min="28" max="28" width="21.1796875" style="27" bestFit="1" customWidth="1"/>
    <col min="29" max="29" width="14.81640625" style="27" bestFit="1" customWidth="1"/>
    <col min="30" max="30" width="14.81640625" style="27" customWidth="1"/>
    <col min="31" max="31" width="23.26953125" style="27" customWidth="1"/>
    <col min="32" max="32" width="11.26953125" style="26"/>
    <col min="33" max="33" width="25.26953125" style="28" bestFit="1" customWidth="1"/>
    <col min="34" max="34" width="29.26953125" style="28" bestFit="1" customWidth="1"/>
    <col min="35" max="35" width="3.81640625" style="28" customWidth="1"/>
    <col min="36" max="36" width="25.81640625" style="28" bestFit="1" customWidth="1"/>
    <col min="37" max="37" width="3.26953125" style="28" customWidth="1"/>
    <col min="38" max="38" width="26.1796875" style="28" customWidth="1"/>
    <col min="39" max="39" width="4.26953125" style="28" customWidth="1"/>
    <col min="40" max="40" width="26.81640625" style="28" customWidth="1"/>
    <col min="41" max="41" width="16.26953125" style="28" bestFit="1" customWidth="1"/>
    <col min="42" max="42" width="32.26953125" style="28" customWidth="1"/>
    <col min="43" max="43" width="7.26953125" style="26" customWidth="1"/>
    <col min="44" max="44" width="14.453125" style="26" customWidth="1"/>
    <col min="45" max="45" width="7.1796875" style="26" customWidth="1"/>
    <col min="46" max="46" width="23.26953125" style="26" customWidth="1"/>
    <col min="47" max="47" width="18.1796875" style="26" hidden="1" customWidth="1"/>
    <col min="48" max="16384" width="11.26953125" style="26"/>
  </cols>
  <sheetData>
    <row r="1" spans="1:48" x14ac:dyDescent="0.3">
      <c r="C1" s="25"/>
      <c r="P1" s="27"/>
      <c r="Q1" s="27"/>
      <c r="R1" s="27"/>
      <c r="S1" s="27"/>
      <c r="U1" s="27"/>
      <c r="V1" s="27"/>
      <c r="W1" s="27"/>
    </row>
    <row r="2" spans="1:48" x14ac:dyDescent="0.3">
      <c r="P2" s="27"/>
      <c r="Q2" s="27"/>
      <c r="R2" s="27"/>
      <c r="S2" s="27"/>
      <c r="U2" s="27"/>
      <c r="V2" s="27"/>
      <c r="W2" s="27"/>
    </row>
    <row r="3" spans="1:48" x14ac:dyDescent="0.3">
      <c r="P3" s="27"/>
      <c r="Q3" s="27"/>
      <c r="R3" s="27"/>
      <c r="S3" s="27"/>
      <c r="U3" s="27"/>
      <c r="V3" s="27"/>
      <c r="W3" s="27"/>
    </row>
    <row r="4" spans="1:48" ht="5.25" customHeight="1" x14ac:dyDescent="0.3">
      <c r="P4" s="27"/>
      <c r="Q4" s="27"/>
      <c r="R4" s="27"/>
      <c r="S4" s="27"/>
      <c r="U4" s="27"/>
      <c r="V4" s="27"/>
      <c r="W4" s="27"/>
    </row>
    <row r="5" spans="1:48" ht="13.5" thickBot="1" x14ac:dyDescent="0.35">
      <c r="B5" s="217" t="s">
        <v>417</v>
      </c>
      <c r="C5" s="217"/>
      <c r="D5" s="217"/>
      <c r="E5" s="217"/>
      <c r="F5" s="217"/>
      <c r="G5" s="217"/>
      <c r="H5" s="217"/>
      <c r="I5" s="217"/>
      <c r="J5" s="217"/>
      <c r="K5" s="217"/>
      <c r="L5" s="217"/>
      <c r="M5" s="217"/>
      <c r="N5" s="214" t="s">
        <v>418</v>
      </c>
      <c r="O5" s="214"/>
      <c r="P5" s="217" t="s">
        <v>419</v>
      </c>
      <c r="Q5" s="217"/>
      <c r="R5" s="217"/>
      <c r="S5" s="217"/>
      <c r="T5" s="217"/>
      <c r="U5" s="217"/>
      <c r="V5" s="217"/>
      <c r="W5" s="217"/>
      <c r="X5" s="217"/>
      <c r="Y5" s="217"/>
      <c r="Z5" s="217"/>
      <c r="AA5" s="217"/>
      <c r="AB5" s="217"/>
      <c r="AC5" s="217"/>
      <c r="AD5" s="217"/>
      <c r="AE5" s="217"/>
    </row>
    <row r="6" spans="1:48" ht="25" customHeight="1" thickTop="1" thickBot="1" x14ac:dyDescent="0.35">
      <c r="B6" s="217"/>
      <c r="C6" s="217"/>
      <c r="D6" s="217"/>
      <c r="E6" s="217"/>
      <c r="F6" s="217"/>
      <c r="G6" s="217"/>
      <c r="H6" s="217"/>
      <c r="I6" s="217"/>
      <c r="J6" s="217"/>
      <c r="K6" s="217"/>
      <c r="L6" s="217"/>
      <c r="M6" s="217"/>
      <c r="N6" s="214"/>
      <c r="O6" s="214"/>
      <c r="P6" s="214" t="s">
        <v>420</v>
      </c>
      <c r="Q6" s="214"/>
      <c r="R6" s="214"/>
      <c r="S6" s="214"/>
      <c r="T6" s="213" t="s">
        <v>421</v>
      </c>
      <c r="U6" s="214" t="s">
        <v>422</v>
      </c>
      <c r="V6" s="214"/>
      <c r="W6" s="214"/>
      <c r="X6" s="213" t="s">
        <v>423</v>
      </c>
      <c r="Y6" s="214" t="s">
        <v>424</v>
      </c>
      <c r="Z6" s="214"/>
      <c r="AA6" s="213" t="s">
        <v>425</v>
      </c>
      <c r="AB6" s="213" t="s">
        <v>426</v>
      </c>
      <c r="AC6" s="213" t="s">
        <v>427</v>
      </c>
      <c r="AD6" s="213"/>
      <c r="AE6" s="213"/>
      <c r="AG6" s="221" t="s">
        <v>428</v>
      </c>
      <c r="AH6" s="222"/>
      <c r="AN6" s="220" t="s">
        <v>428</v>
      </c>
      <c r="AO6" s="220"/>
      <c r="AP6" s="220" t="s">
        <v>429</v>
      </c>
    </row>
    <row r="7" spans="1:48" ht="25" customHeight="1" thickTop="1" thickBot="1" x14ac:dyDescent="0.35">
      <c r="A7" s="25"/>
      <c r="B7" s="216" t="s">
        <v>430</v>
      </c>
      <c r="C7" s="216" t="s">
        <v>431</v>
      </c>
      <c r="D7" s="216" t="s">
        <v>432</v>
      </c>
      <c r="E7" s="215" t="s">
        <v>433</v>
      </c>
      <c r="F7" s="215" t="s">
        <v>434</v>
      </c>
      <c r="G7" s="215" t="s">
        <v>435</v>
      </c>
      <c r="H7" s="215" t="s">
        <v>436</v>
      </c>
      <c r="I7" s="215" t="s">
        <v>437</v>
      </c>
      <c r="J7" s="215" t="s">
        <v>438</v>
      </c>
      <c r="K7" s="215" t="s">
        <v>439</v>
      </c>
      <c r="L7" s="215" t="s">
        <v>440</v>
      </c>
      <c r="M7" s="215" t="s">
        <v>441</v>
      </c>
      <c r="N7" s="215" t="s">
        <v>442</v>
      </c>
      <c r="O7" s="215" t="s">
        <v>443</v>
      </c>
      <c r="P7" s="97" t="s">
        <v>444</v>
      </c>
      <c r="Q7" s="97" t="s">
        <v>445</v>
      </c>
      <c r="R7" s="97" t="s">
        <v>446</v>
      </c>
      <c r="S7" s="97" t="s">
        <v>447</v>
      </c>
      <c r="T7" s="213"/>
      <c r="U7" s="97" t="s">
        <v>448</v>
      </c>
      <c r="V7" s="97" t="s">
        <v>449</v>
      </c>
      <c r="W7" s="97" t="s">
        <v>450</v>
      </c>
      <c r="X7" s="213"/>
      <c r="Y7" s="97" t="s">
        <v>451</v>
      </c>
      <c r="Z7" s="97" t="s">
        <v>452</v>
      </c>
      <c r="AA7" s="213"/>
      <c r="AB7" s="213"/>
      <c r="AC7" s="213" t="s">
        <v>453</v>
      </c>
      <c r="AD7" s="213" t="s">
        <v>454</v>
      </c>
      <c r="AE7" s="213" t="s">
        <v>455</v>
      </c>
      <c r="AG7" s="25"/>
      <c r="AH7" s="25"/>
      <c r="AN7" s="220" t="s">
        <v>456</v>
      </c>
      <c r="AO7" s="220" t="s">
        <v>457</v>
      </c>
      <c r="AP7" s="220"/>
    </row>
    <row r="8" spans="1:48" ht="25" customHeight="1" thickTop="1" thickBot="1" x14ac:dyDescent="0.35">
      <c r="B8" s="216"/>
      <c r="C8" s="216"/>
      <c r="D8" s="219"/>
      <c r="E8" s="215"/>
      <c r="F8" s="215"/>
      <c r="G8" s="215"/>
      <c r="H8" s="215"/>
      <c r="I8" s="215"/>
      <c r="J8" s="215"/>
      <c r="K8" s="215"/>
      <c r="L8" s="215"/>
      <c r="M8" s="215"/>
      <c r="N8" s="218"/>
      <c r="O8" s="215"/>
      <c r="P8" s="98">
        <v>0</v>
      </c>
      <c r="Q8" s="98">
        <v>3</v>
      </c>
      <c r="R8" s="98">
        <v>7</v>
      </c>
      <c r="S8" s="98">
        <v>10</v>
      </c>
      <c r="T8" s="213"/>
      <c r="U8" s="99">
        <v>0</v>
      </c>
      <c r="V8" s="99">
        <v>10</v>
      </c>
      <c r="W8" s="99">
        <v>20</v>
      </c>
      <c r="X8" s="213"/>
      <c r="Y8" s="99">
        <v>60</v>
      </c>
      <c r="Z8" s="99">
        <v>0</v>
      </c>
      <c r="AA8" s="213"/>
      <c r="AB8" s="213"/>
      <c r="AC8" s="213"/>
      <c r="AD8" s="213"/>
      <c r="AE8" s="213"/>
      <c r="AG8" s="223" t="s">
        <v>458</v>
      </c>
      <c r="AH8" s="223" t="s">
        <v>457</v>
      </c>
      <c r="AJ8" s="92" t="s">
        <v>436</v>
      </c>
      <c r="AL8" s="92" t="s">
        <v>437</v>
      </c>
      <c r="AN8" s="220"/>
      <c r="AO8" s="220"/>
      <c r="AP8" s="220"/>
      <c r="AR8" s="92" t="s">
        <v>435</v>
      </c>
      <c r="AT8" s="120" t="s">
        <v>457</v>
      </c>
      <c r="AU8" s="120" t="s">
        <v>459</v>
      </c>
      <c r="AV8" s="120" t="s">
        <v>459</v>
      </c>
    </row>
    <row r="9" spans="1:48" ht="143" x14ac:dyDescent="0.3">
      <c r="B9" s="226">
        <v>1</v>
      </c>
      <c r="C9" s="229" t="str">
        <f>VLOOKUP(B9,codr,6,0)</f>
        <v>Posibilidad de entregar información incompleta o errónea al área encargada de responder un requerimiento sobre LA/FT/FPADM realizado por un ente de control. (sobre todas las contrapartes)</v>
      </c>
      <c r="D9" s="158" t="s">
        <v>460</v>
      </c>
      <c r="E9" s="201" t="s">
        <v>461</v>
      </c>
      <c r="F9" s="100" t="s">
        <v>462</v>
      </c>
      <c r="G9" s="101" t="s">
        <v>463</v>
      </c>
      <c r="H9" s="101" t="s">
        <v>464</v>
      </c>
      <c r="I9" s="101" t="s">
        <v>465</v>
      </c>
      <c r="J9" s="102" t="s">
        <v>466</v>
      </c>
      <c r="K9" s="102" t="s">
        <v>466</v>
      </c>
      <c r="L9" s="102" t="s">
        <v>466</v>
      </c>
      <c r="M9" s="102" t="s">
        <v>466</v>
      </c>
      <c r="N9" s="103" t="s">
        <v>467</v>
      </c>
      <c r="O9" s="123" t="s">
        <v>100</v>
      </c>
      <c r="P9" s="101"/>
      <c r="Q9" s="104" t="s">
        <v>154</v>
      </c>
      <c r="R9" s="104" t="s">
        <v>154</v>
      </c>
      <c r="S9" s="104" t="s">
        <v>154</v>
      </c>
      <c r="T9" s="105">
        <f>IF(OR(P9="X",AND(Q9="",OR(R9="X",S9="X")),AND(R9="",S9="X")),$P$8,IF(Q9="X",$Q$8+(IF(R9="X",$R$8+(IF(S9="X",$S$8))))))</f>
        <v>20</v>
      </c>
      <c r="U9" s="106"/>
      <c r="V9" s="106"/>
      <c r="W9" s="106" t="s">
        <v>154</v>
      </c>
      <c r="X9" s="107">
        <f>IF(COUNTA(U9:W9)&gt;1,$U$8,IF(U9="X",$U$8)+IF(V9="X",$V$8)+IF(W9="X",$W$8))</f>
        <v>20</v>
      </c>
      <c r="Y9" s="106" t="s">
        <v>154</v>
      </c>
      <c r="Z9" s="106"/>
      <c r="AA9" s="104"/>
      <c r="AB9" s="107">
        <f t="shared" ref="AB9:AB41" si="0">IF(COUNTA(Y9,Z9)&gt;1,$Z$8,IF(Y9="X",$Y$8,IF(Z9="X",$Z$8)))</f>
        <v>60</v>
      </c>
      <c r="AC9" s="109">
        <f t="shared" ref="AC9:AC41" si="1">IF(AB9=FALSE,-1,T9+X9+AB9)</f>
        <v>100</v>
      </c>
      <c r="AD9" s="204">
        <f>ROUND(IF(AND(AC11=-1,AC10=-1),AC9,IF(AC11=-1,AVERAGE(AC9:AC10),IF(AND(AC11&gt;=0,AC10&gt;=0,AC9&gt;=0),AVERAGE(AC9:AC11),0))),0)</f>
        <v>100</v>
      </c>
      <c r="AE9" s="207" t="str">
        <f>IF(AND(AD9&lt;20,AD9&gt;=0),"CRITICA",IF(AND(AD9&lt;61,AD9&gt;=20),"BAJA",IF(AND(AD9&lt;91,AD9&gt;=61),"BUENA",IF(AND(AD9&lt;=100,AD9&gt;=91),"EXCELENTE",0))))</f>
        <v>EXCELENTE</v>
      </c>
      <c r="AF9" s="57"/>
      <c r="AG9" s="224"/>
      <c r="AH9" s="224"/>
      <c r="AJ9" s="93" t="s">
        <v>468</v>
      </c>
      <c r="AL9" s="93" t="s">
        <v>465</v>
      </c>
      <c r="AN9" s="94" t="s">
        <v>469</v>
      </c>
      <c r="AO9" s="94" t="s">
        <v>470</v>
      </c>
      <c r="AP9" s="95">
        <v>0.8</v>
      </c>
      <c r="AR9" s="93" t="s">
        <v>463</v>
      </c>
      <c r="AT9" s="91" t="s">
        <v>471</v>
      </c>
      <c r="AU9" s="121">
        <v>1</v>
      </c>
      <c r="AV9" s="121">
        <f>1-AU9</f>
        <v>0</v>
      </c>
    </row>
    <row r="10" spans="1:48" ht="78" x14ac:dyDescent="0.3">
      <c r="B10" s="227"/>
      <c r="C10" s="230"/>
      <c r="D10" s="157" t="s">
        <v>472</v>
      </c>
      <c r="E10" s="202"/>
      <c r="F10" s="100" t="s">
        <v>473</v>
      </c>
      <c r="G10" s="101" t="s">
        <v>474</v>
      </c>
      <c r="H10" s="101" t="s">
        <v>475</v>
      </c>
      <c r="I10" s="101" t="s">
        <v>476</v>
      </c>
      <c r="J10" s="102" t="s">
        <v>477</v>
      </c>
      <c r="K10" s="102" t="s">
        <v>478</v>
      </c>
      <c r="L10" s="102" t="s">
        <v>478</v>
      </c>
      <c r="M10" s="122" t="s">
        <v>479</v>
      </c>
      <c r="N10" s="103" t="s">
        <v>480</v>
      </c>
      <c r="O10" s="123" t="s">
        <v>99</v>
      </c>
      <c r="P10" s="101"/>
      <c r="Q10" s="104" t="s">
        <v>154</v>
      </c>
      <c r="R10" s="104" t="s">
        <v>154</v>
      </c>
      <c r="S10" s="104" t="s">
        <v>154</v>
      </c>
      <c r="T10" s="105">
        <f>IF(OR(P10="X",AND(Q10="",OR(R10="X",S10="X")),AND(R10="",S10="X")),$P$8,IF(Q10="X",$Q$8+(IF(R10="X",$R$8+(IF(S10="X",$S$8))))))</f>
        <v>20</v>
      </c>
      <c r="U10" s="106"/>
      <c r="V10" s="106"/>
      <c r="W10" s="106" t="s">
        <v>154</v>
      </c>
      <c r="X10" s="107">
        <f t="shared" ref="X10:X41" si="2">IF(COUNTA(U10:W10)&gt;1,$U$8,IF(U10="X",$U$8)+IF(V10="X",$V$8)+IF(W10="X",$W$8))</f>
        <v>20</v>
      </c>
      <c r="Y10" s="106" t="s">
        <v>154</v>
      </c>
      <c r="Z10" s="106"/>
      <c r="AA10" s="108"/>
      <c r="AB10" s="107">
        <f t="shared" si="0"/>
        <v>60</v>
      </c>
      <c r="AC10" s="109">
        <f t="shared" si="1"/>
        <v>100</v>
      </c>
      <c r="AD10" s="205"/>
      <c r="AE10" s="208"/>
      <c r="AF10" s="57"/>
      <c r="AG10" s="110" t="s">
        <v>481</v>
      </c>
      <c r="AH10" s="91" t="s">
        <v>471</v>
      </c>
      <c r="AJ10" s="93" t="s">
        <v>482</v>
      </c>
      <c r="AL10" s="93" t="s">
        <v>483</v>
      </c>
      <c r="AN10" s="94" t="s">
        <v>484</v>
      </c>
      <c r="AO10" s="94" t="s">
        <v>485</v>
      </c>
      <c r="AP10" s="96">
        <v>0.5</v>
      </c>
      <c r="AR10" s="93" t="s">
        <v>474</v>
      </c>
      <c r="AT10" s="91" t="s">
        <v>486</v>
      </c>
      <c r="AU10" s="121">
        <v>0.9</v>
      </c>
      <c r="AV10" s="121">
        <f t="shared" ref="AV10:AV12" si="3">1-AU10</f>
        <v>9.9999999999999978E-2</v>
      </c>
    </row>
    <row r="11" spans="1:48" ht="79" thickTop="1" thickBot="1" x14ac:dyDescent="0.35">
      <c r="B11" s="228"/>
      <c r="C11" s="231"/>
      <c r="D11" s="150" t="s">
        <v>487</v>
      </c>
      <c r="E11" s="203"/>
      <c r="F11" s="100" t="s">
        <v>473</v>
      </c>
      <c r="G11" s="101" t="s">
        <v>474</v>
      </c>
      <c r="H11" s="101" t="s">
        <v>488</v>
      </c>
      <c r="I11" s="101" t="s">
        <v>465</v>
      </c>
      <c r="J11" s="102" t="s">
        <v>466</v>
      </c>
      <c r="K11" s="102" t="s">
        <v>466</v>
      </c>
      <c r="L11" s="102" t="s">
        <v>466</v>
      </c>
      <c r="M11" s="102" t="s">
        <v>466</v>
      </c>
      <c r="N11" s="103" t="s">
        <v>480</v>
      </c>
      <c r="O11" s="123" t="s">
        <v>100</v>
      </c>
      <c r="P11" s="101"/>
      <c r="Q11" s="104" t="s">
        <v>154</v>
      </c>
      <c r="R11" s="104" t="s">
        <v>154</v>
      </c>
      <c r="S11" s="104" t="s">
        <v>154</v>
      </c>
      <c r="T11" s="105">
        <f>IF(OR(P11="X",AND(Q11="",OR(R11="X",S11="X")),AND(R11="",S11="X")),$P$8,IF(Q11="X",$Q$8+(IF(R11="X",$R$8+(IF(S11="X",$S$8))))))</f>
        <v>20</v>
      </c>
      <c r="U11" s="106"/>
      <c r="V11" s="106"/>
      <c r="W11" s="106" t="s">
        <v>154</v>
      </c>
      <c r="X11" s="107">
        <f t="shared" si="2"/>
        <v>20</v>
      </c>
      <c r="Y11" s="106" t="s">
        <v>154</v>
      </c>
      <c r="Z11" s="106"/>
      <c r="AA11" s="108"/>
      <c r="AB11" s="107">
        <f t="shared" si="0"/>
        <v>60</v>
      </c>
      <c r="AC11" s="109">
        <f t="shared" si="1"/>
        <v>100</v>
      </c>
      <c r="AD11" s="206"/>
      <c r="AE11" s="209"/>
      <c r="AF11" s="57"/>
      <c r="AG11" s="153" t="s">
        <v>489</v>
      </c>
      <c r="AH11" s="91" t="s">
        <v>486</v>
      </c>
      <c r="AJ11" s="93"/>
      <c r="AN11" s="94" t="s">
        <v>490</v>
      </c>
      <c r="AO11" s="94" t="s">
        <v>486</v>
      </c>
      <c r="AP11" s="96">
        <v>0.1</v>
      </c>
      <c r="AR11" s="93" t="s">
        <v>491</v>
      </c>
      <c r="AT11" s="91" t="s">
        <v>485</v>
      </c>
      <c r="AU11" s="121">
        <v>0.5</v>
      </c>
      <c r="AV11" s="121">
        <f t="shared" si="3"/>
        <v>0.5</v>
      </c>
    </row>
    <row r="12" spans="1:48" ht="248" thickTop="1" thickBot="1" x14ac:dyDescent="0.35">
      <c r="B12" s="225">
        <v>2</v>
      </c>
      <c r="C12" s="181" t="str">
        <f>VLOOKUP(B12,codr,6,0)</f>
        <v>Posibilidad de tener o mantener relaciones contractuales, legales, comerciales, alianzas o convenios con contrapartes relacionadas con delitos de LA/FT/FPADM y/o que se encuentren en listas vinculantes y de control de LA/FT/FPADM periodicas o masivas.</v>
      </c>
      <c r="D12" s="151" t="s">
        <v>492</v>
      </c>
      <c r="E12" s="210" t="s">
        <v>461</v>
      </c>
      <c r="F12" s="100" t="s">
        <v>462</v>
      </c>
      <c r="G12" s="101" t="s">
        <v>474</v>
      </c>
      <c r="H12" s="101" t="s">
        <v>488</v>
      </c>
      <c r="I12" s="101" t="s">
        <v>476</v>
      </c>
      <c r="J12" s="102" t="s">
        <v>466</v>
      </c>
      <c r="K12" s="102" t="s">
        <v>466</v>
      </c>
      <c r="L12" s="102" t="s">
        <v>466</v>
      </c>
      <c r="M12" s="102" t="s">
        <v>466</v>
      </c>
      <c r="N12" s="103" t="s">
        <v>493</v>
      </c>
      <c r="O12" s="123" t="s">
        <v>100</v>
      </c>
      <c r="P12" s="101"/>
      <c r="Q12" s="104" t="s">
        <v>154</v>
      </c>
      <c r="R12" s="104" t="s">
        <v>154</v>
      </c>
      <c r="S12" s="104" t="s">
        <v>154</v>
      </c>
      <c r="T12" s="105">
        <f t="shared" ref="T12:T41" si="4">IF(OR(P12="X",AND(Q12="",OR(R12="X",S12="X")),AND(R12="",S12="X")),$P$8,IF(Q12="X",$Q$8+(IF(R12="X",$R$8+(IF(S12="X",$S$8))))))</f>
        <v>20</v>
      </c>
      <c r="U12" s="106"/>
      <c r="V12" s="106"/>
      <c r="W12" s="106" t="s">
        <v>154</v>
      </c>
      <c r="X12" s="107">
        <f t="shared" si="2"/>
        <v>20</v>
      </c>
      <c r="Y12" s="106" t="s">
        <v>154</v>
      </c>
      <c r="Z12" s="106"/>
      <c r="AA12" s="108"/>
      <c r="AB12" s="107">
        <f t="shared" si="0"/>
        <v>60</v>
      </c>
      <c r="AC12" s="109">
        <f t="shared" si="1"/>
        <v>100</v>
      </c>
      <c r="AD12" s="211">
        <f>ROUND(IF(AND(AC14=-1,AC13=-1),AC12,IF(AC14=-1,AVERAGE(AC12:AC13),IF(AND(AC14&gt;=0,AC13&gt;=0,AC12&gt;=0),AVERAGE(AC12:AC14)))),0)</f>
        <v>100</v>
      </c>
      <c r="AE12" s="212" t="str">
        <f t="shared" ref="AE12" si="5">IF(AND(AD12&lt;20,AD12&gt;=0),"CRITICA",IF(AND(AD12&lt;61,AD12&gt;=20),"BAJA",IF(AND(AD12&lt;91,AD12&gt;=61),"BUENA",IF(AND(AD12&lt;=100,AD12&gt;=91),"EXCELENTE",0))))</f>
        <v>EXCELENTE</v>
      </c>
      <c r="AF12" s="57"/>
      <c r="AG12" s="111" t="s">
        <v>494</v>
      </c>
      <c r="AH12" s="91" t="s">
        <v>485</v>
      </c>
      <c r="AJ12" s="93" t="s">
        <v>475</v>
      </c>
      <c r="AN12" s="94" t="s">
        <v>495</v>
      </c>
      <c r="AO12" s="94" t="s">
        <v>471</v>
      </c>
      <c r="AP12" s="96">
        <v>0</v>
      </c>
      <c r="AT12" s="91" t="s">
        <v>470</v>
      </c>
      <c r="AU12" s="121">
        <v>0.2</v>
      </c>
      <c r="AV12" s="121">
        <f t="shared" si="3"/>
        <v>0.8</v>
      </c>
    </row>
    <row r="13" spans="1:48" ht="261" thickTop="1" thickBot="1" x14ac:dyDescent="0.35">
      <c r="B13" s="225"/>
      <c r="C13" s="181"/>
      <c r="D13" s="149" t="s">
        <v>496</v>
      </c>
      <c r="E13" s="210"/>
      <c r="F13" s="100" t="s">
        <v>473</v>
      </c>
      <c r="G13" s="101" t="s">
        <v>474</v>
      </c>
      <c r="H13" s="101" t="s">
        <v>497</v>
      </c>
      <c r="I13" s="101" t="s">
        <v>476</v>
      </c>
      <c r="J13" s="102" t="s">
        <v>466</v>
      </c>
      <c r="K13" s="102" t="s">
        <v>466</v>
      </c>
      <c r="L13" s="102" t="s">
        <v>466</v>
      </c>
      <c r="M13" s="102" t="s">
        <v>466</v>
      </c>
      <c r="N13" s="103" t="s">
        <v>493</v>
      </c>
      <c r="O13" s="123" t="s">
        <v>100</v>
      </c>
      <c r="P13" s="101"/>
      <c r="Q13" s="104" t="s">
        <v>154</v>
      </c>
      <c r="R13" s="104" t="s">
        <v>154</v>
      </c>
      <c r="S13" s="104" t="s">
        <v>154</v>
      </c>
      <c r="T13" s="105">
        <f t="shared" si="4"/>
        <v>20</v>
      </c>
      <c r="U13" s="106"/>
      <c r="V13" s="106"/>
      <c r="W13" s="106" t="s">
        <v>154</v>
      </c>
      <c r="X13" s="107">
        <f t="shared" si="2"/>
        <v>20</v>
      </c>
      <c r="Y13" s="106" t="s">
        <v>154</v>
      </c>
      <c r="Z13" s="106"/>
      <c r="AA13" s="108"/>
      <c r="AB13" s="107">
        <f t="shared" si="0"/>
        <v>60</v>
      </c>
      <c r="AC13" s="109">
        <f t="shared" si="1"/>
        <v>100</v>
      </c>
      <c r="AD13" s="211"/>
      <c r="AE13" s="212"/>
      <c r="AF13" s="57"/>
      <c r="AG13" s="112" t="s">
        <v>498</v>
      </c>
      <c r="AH13" s="91" t="s">
        <v>470</v>
      </c>
      <c r="AJ13" s="93" t="s">
        <v>499</v>
      </c>
      <c r="AL13" s="92" t="s">
        <v>500</v>
      </c>
    </row>
    <row r="14" spans="1:48" ht="169" x14ac:dyDescent="0.3">
      <c r="B14" s="225"/>
      <c r="C14" s="181"/>
      <c r="D14" s="158" t="s">
        <v>501</v>
      </c>
      <c r="E14" s="210"/>
      <c r="F14" s="100" t="s">
        <v>462</v>
      </c>
      <c r="G14" s="101" t="s">
        <v>463</v>
      </c>
      <c r="H14" s="101" t="s">
        <v>488</v>
      </c>
      <c r="I14" s="101" t="s">
        <v>465</v>
      </c>
      <c r="J14" s="102" t="s">
        <v>502</v>
      </c>
      <c r="K14" s="102" t="s">
        <v>502</v>
      </c>
      <c r="L14" s="102" t="s">
        <v>466</v>
      </c>
      <c r="M14" s="102" t="s">
        <v>502</v>
      </c>
      <c r="N14" s="103" t="s">
        <v>480</v>
      </c>
      <c r="O14" s="123" t="s">
        <v>100</v>
      </c>
      <c r="P14" s="101"/>
      <c r="Q14" s="104" t="s">
        <v>154</v>
      </c>
      <c r="R14" s="104" t="s">
        <v>154</v>
      </c>
      <c r="S14" s="104" t="s">
        <v>154</v>
      </c>
      <c r="T14" s="105">
        <f t="shared" si="4"/>
        <v>20</v>
      </c>
      <c r="U14" s="106"/>
      <c r="V14" s="106"/>
      <c r="W14" s="106" t="s">
        <v>154</v>
      </c>
      <c r="X14" s="107">
        <f t="shared" si="2"/>
        <v>20</v>
      </c>
      <c r="Y14" s="106" t="s">
        <v>154</v>
      </c>
      <c r="Z14" s="106"/>
      <c r="AA14" s="108"/>
      <c r="AB14" s="107">
        <f t="shared" si="0"/>
        <v>60</v>
      </c>
      <c r="AC14" s="109">
        <f t="shared" si="1"/>
        <v>100</v>
      </c>
      <c r="AD14" s="211"/>
      <c r="AE14" s="212"/>
      <c r="AF14" s="57"/>
      <c r="AJ14" s="93" t="s">
        <v>497</v>
      </c>
      <c r="AL14" s="100" t="s">
        <v>503</v>
      </c>
    </row>
    <row r="15" spans="1:48" ht="260" x14ac:dyDescent="0.3">
      <c r="B15" s="225">
        <v>3</v>
      </c>
      <c r="C15" s="181" t="str">
        <f>VLOOKUP(B15,codr,6,0)</f>
        <v>Posibilidad de utilización de un canal comercial o transaccional de la Lotería para realizar operaciones relacionadas con LA/FT/FPADM.</v>
      </c>
      <c r="D15" s="159" t="s">
        <v>504</v>
      </c>
      <c r="E15" s="210" t="s">
        <v>461</v>
      </c>
      <c r="F15" s="100" t="s">
        <v>473</v>
      </c>
      <c r="G15" s="101" t="s">
        <v>474</v>
      </c>
      <c r="H15" s="101" t="s">
        <v>488</v>
      </c>
      <c r="I15" s="101" t="s">
        <v>476</v>
      </c>
      <c r="J15" s="102" t="s">
        <v>466</v>
      </c>
      <c r="K15" s="102" t="s">
        <v>466</v>
      </c>
      <c r="L15" s="102" t="s">
        <v>466</v>
      </c>
      <c r="M15" s="102" t="s">
        <v>466</v>
      </c>
      <c r="N15" s="103" t="s">
        <v>493</v>
      </c>
      <c r="O15" s="123" t="s">
        <v>100</v>
      </c>
      <c r="P15" s="101"/>
      <c r="Q15" s="104" t="s">
        <v>154</v>
      </c>
      <c r="R15" s="104" t="s">
        <v>154</v>
      </c>
      <c r="S15" s="104" t="s">
        <v>154</v>
      </c>
      <c r="T15" s="105">
        <f t="shared" si="4"/>
        <v>20</v>
      </c>
      <c r="U15" s="106"/>
      <c r="V15" s="106"/>
      <c r="W15" s="106" t="s">
        <v>154</v>
      </c>
      <c r="X15" s="107">
        <f t="shared" si="2"/>
        <v>20</v>
      </c>
      <c r="Y15" s="106" t="s">
        <v>154</v>
      </c>
      <c r="Z15" s="106"/>
      <c r="AA15" s="108"/>
      <c r="AB15" s="107">
        <f t="shared" si="0"/>
        <v>60</v>
      </c>
      <c r="AC15" s="109">
        <f t="shared" si="1"/>
        <v>100</v>
      </c>
      <c r="AD15" s="211">
        <f>ROUND(IF(AND(AC18=-1,AC17=-1,AC16=-1),AC15,IF(AND(AC18=-1,AC17=-1),AVERAGE(AC15:AC16),IF(AC18=-1,AVERAGE(AC15:AC17),IF(AND(AC18&gt;=0,AC17&gt;=0,AC16&gt;=0,AC15&gt;=0),AVERAGE(AC15:AC18),0)))),0)</f>
        <v>83</v>
      </c>
      <c r="AE15" s="212" t="str">
        <f t="shared" ref="AE15" si="6">IF(AND(AD15&lt;20,AD15&gt;=0),"CRITICA",IF(AND(AD15&lt;61,AD15&gt;=20),"BAJA",IF(AND(AD15&lt;91,AD15&gt;=61),"BUENA",IF(AND(AD15&lt;=100,AD15&gt;=91),"EXCELENTE",0))))</f>
        <v>BUENA</v>
      </c>
      <c r="AF15" s="57"/>
      <c r="AJ15" s="93" t="s">
        <v>505</v>
      </c>
      <c r="AL15" s="100" t="s">
        <v>473</v>
      </c>
    </row>
    <row r="16" spans="1:48" ht="261" thickTop="1" thickBot="1" x14ac:dyDescent="0.35">
      <c r="B16" s="225"/>
      <c r="C16" s="181"/>
      <c r="D16" s="149" t="s">
        <v>496</v>
      </c>
      <c r="E16" s="210"/>
      <c r="F16" s="100" t="s">
        <v>462</v>
      </c>
      <c r="G16" s="101" t="s">
        <v>474</v>
      </c>
      <c r="H16" s="101" t="s">
        <v>497</v>
      </c>
      <c r="I16" s="101" t="s">
        <v>476</v>
      </c>
      <c r="J16" s="102" t="s">
        <v>466</v>
      </c>
      <c r="K16" s="102" t="s">
        <v>466</v>
      </c>
      <c r="L16" s="102" t="s">
        <v>466</v>
      </c>
      <c r="M16" s="102" t="s">
        <v>466</v>
      </c>
      <c r="N16" s="103" t="s">
        <v>493</v>
      </c>
      <c r="O16" s="123" t="s">
        <v>100</v>
      </c>
      <c r="P16" s="101"/>
      <c r="Q16" s="104" t="s">
        <v>154</v>
      </c>
      <c r="R16" s="104" t="s">
        <v>154</v>
      </c>
      <c r="S16" s="104" t="s">
        <v>154</v>
      </c>
      <c r="T16" s="105">
        <f t="shared" si="4"/>
        <v>20</v>
      </c>
      <c r="U16" s="106"/>
      <c r="V16" s="106"/>
      <c r="W16" s="106" t="s">
        <v>154</v>
      </c>
      <c r="X16" s="107">
        <f t="shared" si="2"/>
        <v>20</v>
      </c>
      <c r="Y16" s="106" t="s">
        <v>154</v>
      </c>
      <c r="Z16" s="106"/>
      <c r="AA16" s="108"/>
      <c r="AB16" s="107">
        <f t="shared" si="0"/>
        <v>60</v>
      </c>
      <c r="AC16" s="109">
        <f t="shared" si="1"/>
        <v>100</v>
      </c>
      <c r="AD16" s="211"/>
      <c r="AE16" s="212"/>
      <c r="AF16" s="57"/>
      <c r="AJ16" s="93" t="s">
        <v>506</v>
      </c>
      <c r="AL16" s="100" t="s">
        <v>507</v>
      </c>
    </row>
    <row r="17" spans="2:38" ht="117" x14ac:dyDescent="0.3">
      <c r="B17" s="225"/>
      <c r="C17" s="181"/>
      <c r="D17" s="158" t="s">
        <v>508</v>
      </c>
      <c r="E17" s="210"/>
      <c r="F17" s="100" t="s">
        <v>473</v>
      </c>
      <c r="G17" s="101" t="s">
        <v>474</v>
      </c>
      <c r="H17" s="101" t="s">
        <v>488</v>
      </c>
      <c r="I17" s="101" t="s">
        <v>465</v>
      </c>
      <c r="J17" s="102" t="s">
        <v>509</v>
      </c>
      <c r="K17" s="102" t="s">
        <v>509</v>
      </c>
      <c r="L17" s="102" t="s">
        <v>466</v>
      </c>
      <c r="M17" s="102" t="s">
        <v>466</v>
      </c>
      <c r="N17" s="103" t="s">
        <v>480</v>
      </c>
      <c r="O17" s="123" t="s">
        <v>99</v>
      </c>
      <c r="P17" s="101"/>
      <c r="Q17" s="104" t="s">
        <v>154</v>
      </c>
      <c r="R17" s="104" t="s">
        <v>154</v>
      </c>
      <c r="S17" s="104" t="s">
        <v>154</v>
      </c>
      <c r="T17" s="105">
        <f t="shared" si="4"/>
        <v>20</v>
      </c>
      <c r="U17" s="106"/>
      <c r="V17" s="106"/>
      <c r="W17" s="106" t="s">
        <v>154</v>
      </c>
      <c r="X17" s="107">
        <f t="shared" si="2"/>
        <v>20</v>
      </c>
      <c r="Y17" s="106"/>
      <c r="Z17" s="106" t="s">
        <v>154</v>
      </c>
      <c r="AA17" s="108"/>
      <c r="AB17" s="107">
        <f t="shared" si="0"/>
        <v>0</v>
      </c>
      <c r="AC17" s="109">
        <f t="shared" si="1"/>
        <v>40</v>
      </c>
      <c r="AD17" s="211"/>
      <c r="AE17" s="212"/>
      <c r="AF17" s="57"/>
      <c r="AL17" s="100"/>
    </row>
    <row r="18" spans="2:38" ht="39" x14ac:dyDescent="0.3">
      <c r="B18" s="225"/>
      <c r="C18" s="181"/>
      <c r="D18" s="158" t="s">
        <v>510</v>
      </c>
      <c r="E18" s="210"/>
      <c r="F18" s="100" t="s">
        <v>462</v>
      </c>
      <c r="G18" s="101" t="s">
        <v>474</v>
      </c>
      <c r="H18" s="101" t="s">
        <v>475</v>
      </c>
      <c r="I18" s="101" t="s">
        <v>476</v>
      </c>
      <c r="J18" s="102" t="s">
        <v>511</v>
      </c>
      <c r="K18" s="102" t="s">
        <v>511</v>
      </c>
      <c r="L18" s="102" t="s">
        <v>511</v>
      </c>
      <c r="M18" s="102" t="s">
        <v>511</v>
      </c>
      <c r="N18" s="103" t="s">
        <v>512</v>
      </c>
      <c r="O18" s="123" t="s">
        <v>100</v>
      </c>
      <c r="P18" s="101"/>
      <c r="Q18" s="104" t="s">
        <v>154</v>
      </c>
      <c r="R18" s="104" t="s">
        <v>154</v>
      </c>
      <c r="S18" s="104"/>
      <c r="T18" s="105">
        <f t="shared" si="4"/>
        <v>10</v>
      </c>
      <c r="U18" s="106"/>
      <c r="V18" s="106"/>
      <c r="W18" s="106" t="s">
        <v>154</v>
      </c>
      <c r="X18" s="107">
        <f t="shared" si="2"/>
        <v>20</v>
      </c>
      <c r="Y18" s="106" t="s">
        <v>154</v>
      </c>
      <c r="Z18" s="106"/>
      <c r="AA18" s="108"/>
      <c r="AB18" s="107">
        <f t="shared" si="0"/>
        <v>60</v>
      </c>
      <c r="AC18" s="109">
        <f t="shared" si="1"/>
        <v>90</v>
      </c>
      <c r="AD18" s="211"/>
      <c r="AE18" s="212"/>
      <c r="AF18" s="57"/>
      <c r="AL18" s="100" t="s">
        <v>513</v>
      </c>
    </row>
    <row r="19" spans="2:38" ht="91" x14ac:dyDescent="0.3">
      <c r="B19" s="225">
        <v>4</v>
      </c>
      <c r="C19" s="181" t="str">
        <f>VLOOKUP(B19,codr,6,0)</f>
        <v>Posibilidad de recuperar valores en la gestión de cobro sin el conocimiento del origen de los fondos.</v>
      </c>
      <c r="D19" s="149" t="s">
        <v>514</v>
      </c>
      <c r="E19" s="210" t="s">
        <v>461</v>
      </c>
      <c r="F19" s="100" t="s">
        <v>473</v>
      </c>
      <c r="G19" s="101" t="s">
        <v>474</v>
      </c>
      <c r="H19" s="101" t="s">
        <v>488</v>
      </c>
      <c r="I19" s="101" t="s">
        <v>465</v>
      </c>
      <c r="J19" s="102" t="s">
        <v>515</v>
      </c>
      <c r="K19" s="102" t="s">
        <v>515</v>
      </c>
      <c r="L19" s="102" t="s">
        <v>515</v>
      </c>
      <c r="M19" s="102" t="s">
        <v>515</v>
      </c>
      <c r="N19" s="103" t="s">
        <v>480</v>
      </c>
      <c r="O19" s="123" t="s">
        <v>99</v>
      </c>
      <c r="P19" s="101"/>
      <c r="Q19" s="104" t="s">
        <v>154</v>
      </c>
      <c r="R19" s="104" t="s">
        <v>154</v>
      </c>
      <c r="S19" s="104" t="s">
        <v>154</v>
      </c>
      <c r="T19" s="105">
        <f t="shared" si="4"/>
        <v>20</v>
      </c>
      <c r="U19" s="106"/>
      <c r="V19" s="106"/>
      <c r="W19" s="106" t="s">
        <v>154</v>
      </c>
      <c r="X19" s="107">
        <f t="shared" si="2"/>
        <v>20</v>
      </c>
      <c r="Y19" s="106"/>
      <c r="Z19" s="106" t="s">
        <v>154</v>
      </c>
      <c r="AA19" s="108"/>
      <c r="AB19" s="107">
        <f t="shared" si="0"/>
        <v>0</v>
      </c>
      <c r="AC19" s="109">
        <f t="shared" si="1"/>
        <v>40</v>
      </c>
      <c r="AD19" s="211">
        <f>ROUND(IF(AND(AC20=-1),AC19,AVERAGE(AC19:AC20)),0)</f>
        <v>65</v>
      </c>
      <c r="AE19" s="212" t="str">
        <f t="shared" ref="AE19" si="7">IF(AND(AD19&lt;20,AD19&gt;=0),"CRITICA",IF(AND(AD19&lt;61,AD19&gt;=20),"BAJA",IF(AND(AD19&lt;91,AD19&gt;=61),"BUENA",IF(AND(AD19&lt;=100,AD19&gt;=91),"EXCELENTE",0))))</f>
        <v>BUENA</v>
      </c>
      <c r="AF19" s="57"/>
      <c r="AL19" s="100" t="s">
        <v>462</v>
      </c>
    </row>
    <row r="20" spans="2:38" ht="39" x14ac:dyDescent="0.3">
      <c r="B20" s="225"/>
      <c r="C20" s="181"/>
      <c r="D20" s="149" t="s">
        <v>516</v>
      </c>
      <c r="E20" s="210"/>
      <c r="F20" s="100" t="s">
        <v>473</v>
      </c>
      <c r="G20" s="101" t="s">
        <v>474</v>
      </c>
      <c r="H20" s="101" t="s">
        <v>475</v>
      </c>
      <c r="I20" s="101" t="s">
        <v>476</v>
      </c>
      <c r="J20" s="102" t="s">
        <v>511</v>
      </c>
      <c r="K20" s="102" t="s">
        <v>511</v>
      </c>
      <c r="L20" s="102" t="s">
        <v>511</v>
      </c>
      <c r="M20" s="102" t="s">
        <v>511</v>
      </c>
      <c r="N20" s="103" t="s">
        <v>512</v>
      </c>
      <c r="O20" s="123" t="s">
        <v>100</v>
      </c>
      <c r="P20" s="101"/>
      <c r="Q20" s="104" t="s">
        <v>154</v>
      </c>
      <c r="R20" s="104" t="s">
        <v>154</v>
      </c>
      <c r="S20" s="104"/>
      <c r="T20" s="105">
        <f t="shared" si="4"/>
        <v>10</v>
      </c>
      <c r="U20" s="106"/>
      <c r="V20" s="106"/>
      <c r="W20" s="106" t="s">
        <v>154</v>
      </c>
      <c r="X20" s="107">
        <f t="shared" si="2"/>
        <v>20</v>
      </c>
      <c r="Y20" s="106" t="s">
        <v>154</v>
      </c>
      <c r="Z20" s="106"/>
      <c r="AA20" s="108"/>
      <c r="AB20" s="107">
        <f t="shared" si="0"/>
        <v>60</v>
      </c>
      <c r="AC20" s="109">
        <f t="shared" si="1"/>
        <v>90</v>
      </c>
      <c r="AD20" s="211"/>
      <c r="AE20" s="212"/>
      <c r="AF20" s="57"/>
    </row>
    <row r="21" spans="2:38" ht="264.75" customHeight="1" x14ac:dyDescent="0.3">
      <c r="B21" s="225">
        <v>5</v>
      </c>
      <c r="C21" s="181" t="str">
        <f>VLOOKUP(B21,codr,6,0)</f>
        <v>Posibilidad de ofrecimientos de dinero o dádivas a colaboradores de la Lotería para entregar, manipular, extraer, cambiar o transferir información de entidad o de sus clientes a terceros no vinculados a la Entidad con el proposito de realizar operaciones y/o actividades relacionadas con el riesgo LA/FT/FPADM.</v>
      </c>
      <c r="D21" s="149" t="s">
        <v>517</v>
      </c>
      <c r="E21" s="210" t="s">
        <v>461</v>
      </c>
      <c r="F21" s="100" t="s">
        <v>507</v>
      </c>
      <c r="G21" s="101" t="s">
        <v>463</v>
      </c>
      <c r="H21" s="101" t="s">
        <v>505</v>
      </c>
      <c r="I21" s="101" t="s">
        <v>465</v>
      </c>
      <c r="J21" s="102" t="s">
        <v>466</v>
      </c>
      <c r="K21" s="102" t="s">
        <v>466</v>
      </c>
      <c r="L21" s="102" t="s">
        <v>466</v>
      </c>
      <c r="M21" s="102" t="s">
        <v>466</v>
      </c>
      <c r="N21" s="103" t="s">
        <v>518</v>
      </c>
      <c r="O21" s="123" t="s">
        <v>100</v>
      </c>
      <c r="P21" s="101"/>
      <c r="Q21" s="104" t="s">
        <v>154</v>
      </c>
      <c r="R21" s="104" t="s">
        <v>154</v>
      </c>
      <c r="S21" s="104" t="s">
        <v>154</v>
      </c>
      <c r="T21" s="105">
        <f t="shared" si="4"/>
        <v>20</v>
      </c>
      <c r="U21" s="106"/>
      <c r="V21" s="106"/>
      <c r="W21" s="106" t="s">
        <v>154</v>
      </c>
      <c r="X21" s="107">
        <f t="shared" si="2"/>
        <v>20</v>
      </c>
      <c r="Y21" s="106" t="s">
        <v>154</v>
      </c>
      <c r="Z21" s="106"/>
      <c r="AA21" s="108"/>
      <c r="AB21" s="107">
        <f t="shared" si="0"/>
        <v>60</v>
      </c>
      <c r="AC21" s="109">
        <f t="shared" si="1"/>
        <v>100</v>
      </c>
      <c r="AD21" s="211">
        <f t="shared" ref="AD21" si="8">ROUND(IF(AND(AC23=-1,AC22=-1),AC21,IF(AC23=-1,AVERAGE(AC21:AC22),IF(AND(AC23&gt;=0,AC22&gt;=0,AC21&gt;=0),AVERAGE(AC21:AC23)))),0)</f>
        <v>93</v>
      </c>
      <c r="AE21" s="212" t="str">
        <f t="shared" ref="AE21" si="9">IF(AND(AD21&lt;20,AD21&gt;=0),"CRITICA",IF(AND(AD21&lt;61,AD21&gt;=20),"BAJA",IF(AND(AD21&lt;91,AD21&gt;=61),"BUENA",IF(AND(AD21&lt;=100,AD21&gt;=91),"EXCELENTE",0))))</f>
        <v>EXCELENTE</v>
      </c>
      <c r="AF21" s="57"/>
    </row>
    <row r="22" spans="2:38" ht="84" customHeight="1" x14ac:dyDescent="0.3">
      <c r="B22" s="225"/>
      <c r="C22" s="181"/>
      <c r="D22" s="149" t="s">
        <v>519</v>
      </c>
      <c r="E22" s="210"/>
      <c r="F22" s="100" t="s">
        <v>513</v>
      </c>
      <c r="G22" s="101" t="s">
        <v>463</v>
      </c>
      <c r="H22" s="101" t="s">
        <v>488</v>
      </c>
      <c r="I22" s="101" t="s">
        <v>465</v>
      </c>
      <c r="J22" s="102" t="s">
        <v>466</v>
      </c>
      <c r="K22" s="102" t="s">
        <v>466</v>
      </c>
      <c r="L22" s="102" t="s">
        <v>466</v>
      </c>
      <c r="M22" s="102" t="s">
        <v>466</v>
      </c>
      <c r="N22" s="103" t="s">
        <v>520</v>
      </c>
      <c r="O22" s="123" t="s">
        <v>100</v>
      </c>
      <c r="P22" s="101"/>
      <c r="Q22" s="104" t="s">
        <v>154</v>
      </c>
      <c r="R22" s="104" t="s">
        <v>154</v>
      </c>
      <c r="S22" s="104"/>
      <c r="T22" s="105">
        <f t="shared" si="4"/>
        <v>10</v>
      </c>
      <c r="U22" s="106"/>
      <c r="V22" s="106"/>
      <c r="W22" s="106" t="s">
        <v>154</v>
      </c>
      <c r="X22" s="107">
        <f t="shared" si="2"/>
        <v>20</v>
      </c>
      <c r="Y22" s="106" t="s">
        <v>154</v>
      </c>
      <c r="Z22" s="106"/>
      <c r="AA22" s="108"/>
      <c r="AB22" s="107">
        <f t="shared" si="0"/>
        <v>60</v>
      </c>
      <c r="AC22" s="109">
        <f t="shared" si="1"/>
        <v>90</v>
      </c>
      <c r="AD22" s="211"/>
      <c r="AE22" s="212"/>
      <c r="AF22" s="57"/>
    </row>
    <row r="23" spans="2:38" ht="90.75" customHeight="1" x14ac:dyDescent="0.3">
      <c r="B23" s="225"/>
      <c r="C23" s="181"/>
      <c r="D23" s="149" t="s">
        <v>521</v>
      </c>
      <c r="E23" s="210"/>
      <c r="F23" s="100" t="s">
        <v>462</v>
      </c>
      <c r="G23" s="101" t="s">
        <v>463</v>
      </c>
      <c r="H23" s="101" t="s">
        <v>497</v>
      </c>
      <c r="I23" s="101" t="s">
        <v>465</v>
      </c>
      <c r="J23" s="102" t="s">
        <v>466</v>
      </c>
      <c r="K23" s="102" t="s">
        <v>466</v>
      </c>
      <c r="L23" s="102" t="s">
        <v>466</v>
      </c>
      <c r="M23" s="102" t="s">
        <v>466</v>
      </c>
      <c r="N23" s="103" t="s">
        <v>522</v>
      </c>
      <c r="O23" s="123" t="s">
        <v>100</v>
      </c>
      <c r="P23" s="101"/>
      <c r="Q23" s="104" t="s">
        <v>154</v>
      </c>
      <c r="R23" s="104" t="s">
        <v>154</v>
      </c>
      <c r="S23" s="104" t="s">
        <v>154</v>
      </c>
      <c r="T23" s="105">
        <f t="shared" si="4"/>
        <v>20</v>
      </c>
      <c r="U23" s="106"/>
      <c r="V23" s="106" t="s">
        <v>154</v>
      </c>
      <c r="W23" s="106"/>
      <c r="X23" s="107">
        <f t="shared" si="2"/>
        <v>10</v>
      </c>
      <c r="Y23" s="106" t="s">
        <v>154</v>
      </c>
      <c r="Z23" s="106"/>
      <c r="AA23" s="108"/>
      <c r="AB23" s="107">
        <f t="shared" si="0"/>
        <v>60</v>
      </c>
      <c r="AC23" s="109">
        <f t="shared" si="1"/>
        <v>90</v>
      </c>
      <c r="AD23" s="211"/>
      <c r="AE23" s="212"/>
      <c r="AF23" s="57"/>
    </row>
    <row r="24" spans="2:38" ht="195" x14ac:dyDescent="0.3">
      <c r="B24" s="225">
        <v>6</v>
      </c>
      <c r="C24" s="181" t="str">
        <f>VLOOKUP(B24,codr,6,0)</f>
        <v>Posibilidad de tener algún tipo de vínculo contractual con Personas Expuestas Políticamente (PEP) que se puedan aprovechar de su condición para realizar actividades de LA/FT/FPADM. (No es problemático tener esta relación contractual, el problema está en desconocerla)</v>
      </c>
      <c r="D24" s="149" t="s">
        <v>517</v>
      </c>
      <c r="E24" s="210" t="s">
        <v>461</v>
      </c>
      <c r="F24" s="100" t="s">
        <v>507</v>
      </c>
      <c r="G24" s="101" t="s">
        <v>463</v>
      </c>
      <c r="H24" s="101" t="s">
        <v>505</v>
      </c>
      <c r="I24" s="101" t="s">
        <v>465</v>
      </c>
      <c r="J24" s="102" t="s">
        <v>466</v>
      </c>
      <c r="K24" s="102" t="s">
        <v>466</v>
      </c>
      <c r="L24" s="102" t="s">
        <v>466</v>
      </c>
      <c r="M24" s="102" t="s">
        <v>466</v>
      </c>
      <c r="N24" s="103" t="s">
        <v>518</v>
      </c>
      <c r="O24" s="123" t="s">
        <v>100</v>
      </c>
      <c r="P24" s="101"/>
      <c r="Q24" s="104" t="s">
        <v>154</v>
      </c>
      <c r="R24" s="104" t="s">
        <v>154</v>
      </c>
      <c r="S24" s="104" t="s">
        <v>154</v>
      </c>
      <c r="T24" s="105">
        <f t="shared" si="4"/>
        <v>20</v>
      </c>
      <c r="U24" s="106"/>
      <c r="V24" s="106"/>
      <c r="W24" s="106" t="s">
        <v>154</v>
      </c>
      <c r="X24" s="107">
        <f t="shared" si="2"/>
        <v>20</v>
      </c>
      <c r="Y24" s="106" t="s">
        <v>154</v>
      </c>
      <c r="Z24" s="106"/>
      <c r="AA24" s="108"/>
      <c r="AB24" s="107">
        <f t="shared" si="0"/>
        <v>60</v>
      </c>
      <c r="AC24" s="109">
        <f t="shared" si="1"/>
        <v>100</v>
      </c>
      <c r="AD24" s="211">
        <f t="shared" ref="AD24" si="10">ROUND(IF(AND(AC26=-1,AC25=-1),AC24,IF(AC26=-1,AVERAGE(AC24:AC25),IF(AND(AC26&gt;=0,AC25&gt;=0,AC24&gt;=0),AVERAGE(AC24:AC26)))),0)</f>
        <v>100</v>
      </c>
      <c r="AE24" s="212" t="str">
        <f t="shared" ref="AE24" si="11">IF(AND(AD24&lt;20,AD24&gt;=0),"CRITICA",IF(AND(AD24&lt;61,AD24&gt;=20),"BAJA",IF(AND(AD24&lt;91,AD24&gt;=61),"BUENA",IF(AND(AD24&lt;=100,AD24&gt;=91),"EXCELENTE",0))))</f>
        <v>EXCELENTE</v>
      </c>
      <c r="AF24" s="57"/>
    </row>
    <row r="25" spans="2:38" ht="111" customHeight="1" x14ac:dyDescent="0.3">
      <c r="B25" s="225"/>
      <c r="C25" s="181"/>
      <c r="D25" s="149" t="s">
        <v>523</v>
      </c>
      <c r="E25" s="210"/>
      <c r="F25" s="100" t="s">
        <v>513</v>
      </c>
      <c r="G25" s="101" t="s">
        <v>463</v>
      </c>
      <c r="H25" s="101" t="s">
        <v>488</v>
      </c>
      <c r="I25" s="101" t="s">
        <v>465</v>
      </c>
      <c r="J25" s="102" t="s">
        <v>466</v>
      </c>
      <c r="K25" s="102" t="s">
        <v>466</v>
      </c>
      <c r="L25" s="102" t="s">
        <v>466</v>
      </c>
      <c r="M25" s="102" t="s">
        <v>466</v>
      </c>
      <c r="N25" s="103" t="s">
        <v>524</v>
      </c>
      <c r="O25" s="123" t="s">
        <v>100</v>
      </c>
      <c r="P25" s="101"/>
      <c r="Q25" s="104" t="s">
        <v>154</v>
      </c>
      <c r="R25" s="104" t="s">
        <v>154</v>
      </c>
      <c r="S25" s="104" t="s">
        <v>154</v>
      </c>
      <c r="T25" s="105">
        <f t="shared" si="4"/>
        <v>20</v>
      </c>
      <c r="U25" s="106"/>
      <c r="V25" s="106"/>
      <c r="W25" s="106" t="s">
        <v>154</v>
      </c>
      <c r="X25" s="107">
        <f t="shared" si="2"/>
        <v>20</v>
      </c>
      <c r="Y25" s="106" t="s">
        <v>154</v>
      </c>
      <c r="Z25" s="106"/>
      <c r="AA25" s="108"/>
      <c r="AB25" s="107">
        <f t="shared" si="0"/>
        <v>60</v>
      </c>
      <c r="AC25" s="109">
        <f t="shared" si="1"/>
        <v>100</v>
      </c>
      <c r="AD25" s="211"/>
      <c r="AE25" s="212"/>
      <c r="AF25" s="57"/>
    </row>
    <row r="26" spans="2:38" ht="115.5" customHeight="1" x14ac:dyDescent="0.3">
      <c r="B26" s="225"/>
      <c r="C26" s="181"/>
      <c r="D26" s="149" t="s">
        <v>525</v>
      </c>
      <c r="E26" s="210"/>
      <c r="F26" s="100" t="s">
        <v>462</v>
      </c>
      <c r="G26" s="101" t="s">
        <v>463</v>
      </c>
      <c r="H26" s="101" t="s">
        <v>488</v>
      </c>
      <c r="I26" s="101" t="s">
        <v>465</v>
      </c>
      <c r="J26" s="102" t="s">
        <v>466</v>
      </c>
      <c r="K26" s="102" t="s">
        <v>466</v>
      </c>
      <c r="L26" s="102" t="s">
        <v>466</v>
      </c>
      <c r="M26" s="102" t="s">
        <v>466</v>
      </c>
      <c r="N26" s="103" t="s">
        <v>524</v>
      </c>
      <c r="O26" s="123" t="s">
        <v>100</v>
      </c>
      <c r="P26" s="101"/>
      <c r="Q26" s="104" t="s">
        <v>154</v>
      </c>
      <c r="R26" s="104" t="s">
        <v>154</v>
      </c>
      <c r="S26" s="104" t="s">
        <v>154</v>
      </c>
      <c r="T26" s="105">
        <f t="shared" si="4"/>
        <v>20</v>
      </c>
      <c r="U26" s="106"/>
      <c r="V26" s="106"/>
      <c r="W26" s="106" t="s">
        <v>154</v>
      </c>
      <c r="X26" s="107">
        <f t="shared" si="2"/>
        <v>20</v>
      </c>
      <c r="Y26" s="106" t="s">
        <v>154</v>
      </c>
      <c r="Z26" s="106"/>
      <c r="AA26" s="108"/>
      <c r="AB26" s="107">
        <f t="shared" si="0"/>
        <v>60</v>
      </c>
      <c r="AC26" s="109">
        <f t="shared" si="1"/>
        <v>100</v>
      </c>
      <c r="AD26" s="211"/>
      <c r="AE26" s="212"/>
      <c r="AF26" s="57"/>
    </row>
    <row r="27" spans="2:38" ht="279.75" customHeight="1" x14ac:dyDescent="0.3">
      <c r="B27" s="226">
        <v>7</v>
      </c>
      <c r="C27" s="181" t="str">
        <f>VLOOKUP(B27,codr,6,0)</f>
        <v>Posibilidad de tener vínculo contractual con contrapartes sobre las que se ha emitido información negativa en medios de comunicación, están o han estado incluídos en procesos judiciales o administrativos por delitos relacionados con LA/FT/FPADM, que puedan permear a la Lotería de Bogotá</v>
      </c>
      <c r="D27" s="149" t="s">
        <v>526</v>
      </c>
      <c r="E27" s="210" t="s">
        <v>461</v>
      </c>
      <c r="F27" s="100" t="s">
        <v>473</v>
      </c>
      <c r="G27" s="101" t="s">
        <v>474</v>
      </c>
      <c r="H27" s="101" t="s">
        <v>488</v>
      </c>
      <c r="I27" s="101" t="s">
        <v>476</v>
      </c>
      <c r="J27" s="102" t="s">
        <v>466</v>
      </c>
      <c r="K27" s="102" t="s">
        <v>466</v>
      </c>
      <c r="L27" s="102" t="s">
        <v>466</v>
      </c>
      <c r="M27" s="102" t="s">
        <v>466</v>
      </c>
      <c r="N27" s="103" t="s">
        <v>493</v>
      </c>
      <c r="O27" s="123" t="s">
        <v>100</v>
      </c>
      <c r="P27" s="101"/>
      <c r="Q27" s="104" t="s">
        <v>154</v>
      </c>
      <c r="R27" s="104" t="s">
        <v>154</v>
      </c>
      <c r="S27" s="104" t="s">
        <v>154</v>
      </c>
      <c r="T27" s="105">
        <f t="shared" si="4"/>
        <v>20</v>
      </c>
      <c r="U27" s="106"/>
      <c r="V27" s="106"/>
      <c r="W27" s="106" t="s">
        <v>154</v>
      </c>
      <c r="X27" s="107">
        <f t="shared" si="2"/>
        <v>20</v>
      </c>
      <c r="Y27" s="106" t="s">
        <v>154</v>
      </c>
      <c r="Z27" s="106"/>
      <c r="AA27" s="108"/>
      <c r="AB27" s="107">
        <f t="shared" si="0"/>
        <v>60</v>
      </c>
      <c r="AC27" s="109">
        <f t="shared" si="1"/>
        <v>100</v>
      </c>
      <c r="AD27" s="211">
        <f t="shared" ref="AD27" si="12">ROUND(IF(AND(AC29=-1,AC28=-1),AC27,IF(AC29=-1,AVERAGE(AC27:AC28),IF(AND(AC29&gt;=0,AC28&gt;=0,AC27&gt;=0),AVERAGE(AC27:AC29)))),0)</f>
        <v>100</v>
      </c>
      <c r="AE27" s="212" t="str">
        <f t="shared" ref="AE27" si="13">IF(AND(AD27&lt;20,AD27&gt;=0),"CRITICA",IF(AND(AD27&lt;61,AD27&gt;=20),"BAJA",IF(AND(AD27&lt;91,AD27&gt;=61),"BUENA",IF(AND(AD27&lt;=100,AD27&gt;=91),"EXCELENTE",0))))</f>
        <v>EXCELENTE</v>
      </c>
      <c r="AF27" s="57"/>
    </row>
    <row r="28" spans="2:38" ht="274.5" customHeight="1" x14ac:dyDescent="0.3">
      <c r="B28" s="227"/>
      <c r="C28" s="181"/>
      <c r="D28" s="149" t="s">
        <v>527</v>
      </c>
      <c r="E28" s="210"/>
      <c r="F28" s="100" t="s">
        <v>473</v>
      </c>
      <c r="G28" s="101" t="s">
        <v>474</v>
      </c>
      <c r="H28" s="101" t="s">
        <v>497</v>
      </c>
      <c r="I28" s="101" t="s">
        <v>476</v>
      </c>
      <c r="J28" s="102" t="s">
        <v>466</v>
      </c>
      <c r="K28" s="102" t="s">
        <v>466</v>
      </c>
      <c r="L28" s="102" t="s">
        <v>466</v>
      </c>
      <c r="M28" s="102" t="s">
        <v>466</v>
      </c>
      <c r="N28" s="103" t="s">
        <v>493</v>
      </c>
      <c r="O28" s="123" t="s">
        <v>100</v>
      </c>
      <c r="P28" s="101"/>
      <c r="Q28" s="104" t="s">
        <v>154</v>
      </c>
      <c r="R28" s="104" t="s">
        <v>154</v>
      </c>
      <c r="S28" s="104" t="s">
        <v>154</v>
      </c>
      <c r="T28" s="105">
        <f t="shared" si="4"/>
        <v>20</v>
      </c>
      <c r="U28" s="106"/>
      <c r="V28" s="106"/>
      <c r="W28" s="106" t="s">
        <v>154</v>
      </c>
      <c r="X28" s="107">
        <f t="shared" si="2"/>
        <v>20</v>
      </c>
      <c r="Y28" s="106" t="s">
        <v>154</v>
      </c>
      <c r="Z28" s="106"/>
      <c r="AA28" s="108"/>
      <c r="AB28" s="107">
        <f t="shared" si="0"/>
        <v>60</v>
      </c>
      <c r="AC28" s="109">
        <f t="shared" si="1"/>
        <v>100</v>
      </c>
      <c r="AD28" s="211"/>
      <c r="AE28" s="212"/>
      <c r="AF28" s="57"/>
    </row>
    <row r="29" spans="2:38" ht="57" customHeight="1" x14ac:dyDescent="0.3">
      <c r="B29" s="228"/>
      <c r="C29" s="181"/>
      <c r="D29" s="149" t="s">
        <v>528</v>
      </c>
      <c r="E29" s="210"/>
      <c r="F29" s="100" t="s">
        <v>513</v>
      </c>
      <c r="G29" s="101" t="s">
        <v>474</v>
      </c>
      <c r="H29" s="101" t="s">
        <v>475</v>
      </c>
      <c r="I29" s="101" t="s">
        <v>483</v>
      </c>
      <c r="J29" s="102" t="s">
        <v>529</v>
      </c>
      <c r="K29" s="102" t="s">
        <v>529</v>
      </c>
      <c r="L29" s="102" t="s">
        <v>529</v>
      </c>
      <c r="M29" s="102" t="s">
        <v>529</v>
      </c>
      <c r="N29" s="103" t="s">
        <v>530</v>
      </c>
      <c r="O29" s="123" t="s">
        <v>100</v>
      </c>
      <c r="P29" s="101"/>
      <c r="Q29" s="104" t="s">
        <v>154</v>
      </c>
      <c r="R29" s="104" t="s">
        <v>154</v>
      </c>
      <c r="S29" s="104" t="s">
        <v>154</v>
      </c>
      <c r="T29" s="105">
        <f t="shared" si="4"/>
        <v>20</v>
      </c>
      <c r="U29" s="106"/>
      <c r="V29" s="106"/>
      <c r="W29" s="106" t="s">
        <v>154</v>
      </c>
      <c r="X29" s="107">
        <f t="shared" si="2"/>
        <v>20</v>
      </c>
      <c r="Y29" s="106" t="s">
        <v>154</v>
      </c>
      <c r="Z29" s="106"/>
      <c r="AA29" s="108"/>
      <c r="AB29" s="107">
        <f t="shared" si="0"/>
        <v>60</v>
      </c>
      <c r="AC29" s="109">
        <f t="shared" si="1"/>
        <v>100</v>
      </c>
      <c r="AD29" s="211"/>
      <c r="AE29" s="212"/>
      <c r="AF29" s="57"/>
    </row>
    <row r="30" spans="2:38" ht="240.75" customHeight="1" x14ac:dyDescent="0.3">
      <c r="B30" s="233">
        <v>8</v>
      </c>
      <c r="C30" s="229" t="str">
        <f>VLOOKUP(B30,codr,6,0)</f>
        <v xml:space="preserve">Posibilidad de pérdida y/o extracción de información relacionada con las bases de datos de la Lotería, que pueda ser utilizada por terceros para realizar actividades de LA/FT/FPADM. </v>
      </c>
      <c r="D30" s="149" t="s">
        <v>517</v>
      </c>
      <c r="E30" s="201" t="s">
        <v>461</v>
      </c>
      <c r="F30" s="100" t="s">
        <v>507</v>
      </c>
      <c r="G30" s="101" t="s">
        <v>463</v>
      </c>
      <c r="H30" s="101" t="s">
        <v>505</v>
      </c>
      <c r="I30" s="101" t="s">
        <v>465</v>
      </c>
      <c r="J30" s="102" t="s">
        <v>466</v>
      </c>
      <c r="K30" s="102" t="s">
        <v>466</v>
      </c>
      <c r="L30" s="102" t="s">
        <v>466</v>
      </c>
      <c r="M30" s="102" t="s">
        <v>466</v>
      </c>
      <c r="N30" s="103" t="s">
        <v>518</v>
      </c>
      <c r="O30" s="123" t="s">
        <v>100</v>
      </c>
      <c r="P30" s="101"/>
      <c r="Q30" s="104" t="s">
        <v>154</v>
      </c>
      <c r="R30" s="104" t="s">
        <v>154</v>
      </c>
      <c r="S30" s="104" t="s">
        <v>154</v>
      </c>
      <c r="T30" s="105">
        <f t="shared" si="4"/>
        <v>20</v>
      </c>
      <c r="U30" s="106"/>
      <c r="V30" s="106"/>
      <c r="W30" s="106" t="s">
        <v>154</v>
      </c>
      <c r="X30" s="107">
        <f t="shared" si="2"/>
        <v>20</v>
      </c>
      <c r="Y30" s="106" t="s">
        <v>154</v>
      </c>
      <c r="Z30" s="106"/>
      <c r="AA30" s="108"/>
      <c r="AB30" s="107">
        <f t="shared" si="0"/>
        <v>60</v>
      </c>
      <c r="AC30" s="109">
        <f t="shared" si="1"/>
        <v>100</v>
      </c>
      <c r="AD30" s="204">
        <f>ROUND(IF(AND(AC33=-1,AC32=-1,AC31=-1),AC30,IF(AND(AC33=-1,AC32=-1),AVERAGE(AC30:AC31),IF(AC33=-1,AVERAGE(AC30:AC32),IF(AND(AC33&gt;=0,AC32&gt;=0,AC31&gt;=0,AC30&gt;=0),AVERAGE(AC30:AC33),0)))),0)</f>
        <v>98</v>
      </c>
      <c r="AE30" s="207" t="str">
        <f t="shared" ref="AE30" si="14">IF(AND(AD30&lt;20,AD30&gt;=0),"CRITICA",IF(AND(AD30&lt;61,AD30&gt;=20),"BAJA",IF(AND(AD30&lt;91,AD30&gt;=61),"BUENA",IF(AND(AD30&lt;=100,AD30&gt;=91),"EXCELENTE",0))))</f>
        <v>EXCELENTE</v>
      </c>
      <c r="AF30" s="57"/>
    </row>
    <row r="31" spans="2:38" ht="69" customHeight="1" x14ac:dyDescent="0.3">
      <c r="B31" s="234"/>
      <c r="C31" s="230"/>
      <c r="D31" s="149" t="s">
        <v>521</v>
      </c>
      <c r="E31" s="202"/>
      <c r="F31" s="100" t="s">
        <v>462</v>
      </c>
      <c r="G31" s="101" t="s">
        <v>463</v>
      </c>
      <c r="H31" s="101" t="s">
        <v>497</v>
      </c>
      <c r="I31" s="101" t="s">
        <v>465</v>
      </c>
      <c r="J31" s="102" t="s">
        <v>466</v>
      </c>
      <c r="K31" s="102" t="s">
        <v>466</v>
      </c>
      <c r="L31" s="102" t="s">
        <v>466</v>
      </c>
      <c r="M31" s="102" t="s">
        <v>466</v>
      </c>
      <c r="N31" s="103" t="s">
        <v>522</v>
      </c>
      <c r="O31" s="123" t="s">
        <v>100</v>
      </c>
      <c r="P31" s="101"/>
      <c r="Q31" s="104" t="s">
        <v>154</v>
      </c>
      <c r="R31" s="104" t="s">
        <v>154</v>
      </c>
      <c r="S31" s="104" t="s">
        <v>154</v>
      </c>
      <c r="T31" s="105">
        <f t="shared" si="4"/>
        <v>20</v>
      </c>
      <c r="U31" s="106"/>
      <c r="V31" s="106" t="s">
        <v>154</v>
      </c>
      <c r="W31" s="106"/>
      <c r="X31" s="107">
        <f t="shared" si="2"/>
        <v>10</v>
      </c>
      <c r="Y31" s="106" t="s">
        <v>154</v>
      </c>
      <c r="Z31" s="106"/>
      <c r="AA31" s="108"/>
      <c r="AB31" s="107">
        <f t="shared" si="0"/>
        <v>60</v>
      </c>
      <c r="AC31" s="109">
        <f t="shared" si="1"/>
        <v>90</v>
      </c>
      <c r="AD31" s="205"/>
      <c r="AE31" s="208"/>
      <c r="AF31" s="57"/>
    </row>
    <row r="32" spans="2:38" ht="52" x14ac:dyDescent="0.3">
      <c r="B32" s="234"/>
      <c r="C32" s="232"/>
      <c r="D32" s="149" t="s">
        <v>519</v>
      </c>
      <c r="E32" s="236"/>
      <c r="F32" s="100" t="s">
        <v>513</v>
      </c>
      <c r="G32" s="101" t="s">
        <v>463</v>
      </c>
      <c r="H32" s="101" t="s">
        <v>488</v>
      </c>
      <c r="I32" s="101" t="s">
        <v>465</v>
      </c>
      <c r="J32" s="102" t="s">
        <v>466</v>
      </c>
      <c r="K32" s="102" t="s">
        <v>466</v>
      </c>
      <c r="L32" s="102" t="s">
        <v>466</v>
      </c>
      <c r="M32" s="102" t="s">
        <v>466</v>
      </c>
      <c r="N32" s="103" t="s">
        <v>520</v>
      </c>
      <c r="O32" s="123" t="s">
        <v>100</v>
      </c>
      <c r="P32" s="101"/>
      <c r="Q32" s="104" t="s">
        <v>154</v>
      </c>
      <c r="R32" s="104" t="s">
        <v>154</v>
      </c>
      <c r="S32" s="104" t="s">
        <v>154</v>
      </c>
      <c r="T32" s="105">
        <f t="shared" si="4"/>
        <v>20</v>
      </c>
      <c r="U32" s="106"/>
      <c r="V32" s="106"/>
      <c r="W32" s="106" t="s">
        <v>154</v>
      </c>
      <c r="X32" s="107">
        <f t="shared" si="2"/>
        <v>20</v>
      </c>
      <c r="Y32" s="106" t="s">
        <v>154</v>
      </c>
      <c r="Z32" s="106"/>
      <c r="AA32" s="108"/>
      <c r="AB32" s="107">
        <f t="shared" si="0"/>
        <v>60</v>
      </c>
      <c r="AC32" s="109">
        <f t="shared" si="1"/>
        <v>100</v>
      </c>
      <c r="AD32" s="205"/>
      <c r="AE32" s="208"/>
      <c r="AF32" s="57"/>
    </row>
    <row r="33" spans="2:42" ht="161.25" customHeight="1" x14ac:dyDescent="0.3">
      <c r="B33" s="235"/>
      <c r="C33" s="231"/>
      <c r="D33" s="149" t="s">
        <v>531</v>
      </c>
      <c r="E33" s="203"/>
      <c r="F33" s="100" t="s">
        <v>513</v>
      </c>
      <c r="G33" s="101" t="s">
        <v>474</v>
      </c>
      <c r="H33" s="101" t="s">
        <v>497</v>
      </c>
      <c r="I33" s="101" t="s">
        <v>476</v>
      </c>
      <c r="J33" s="102" t="s">
        <v>532</v>
      </c>
      <c r="K33" s="102" t="s">
        <v>532</v>
      </c>
      <c r="L33" s="102" t="s">
        <v>532</v>
      </c>
      <c r="M33" s="102" t="s">
        <v>532</v>
      </c>
      <c r="N33" s="103" t="s">
        <v>480</v>
      </c>
      <c r="O33" s="123" t="s">
        <v>100</v>
      </c>
      <c r="P33" s="101"/>
      <c r="Q33" s="104" t="s">
        <v>154</v>
      </c>
      <c r="R33" s="104" t="s">
        <v>154</v>
      </c>
      <c r="S33" s="104" t="s">
        <v>154</v>
      </c>
      <c r="T33" s="105">
        <f t="shared" si="4"/>
        <v>20</v>
      </c>
      <c r="U33" s="106"/>
      <c r="V33" s="106"/>
      <c r="W33" s="106" t="s">
        <v>154</v>
      </c>
      <c r="X33" s="107">
        <f t="shared" si="2"/>
        <v>20</v>
      </c>
      <c r="Y33" s="106" t="s">
        <v>154</v>
      </c>
      <c r="Z33" s="106"/>
      <c r="AA33" s="108"/>
      <c r="AB33" s="107">
        <f t="shared" si="0"/>
        <v>60</v>
      </c>
      <c r="AC33" s="109">
        <f t="shared" si="1"/>
        <v>100</v>
      </c>
      <c r="AD33" s="206"/>
      <c r="AE33" s="209"/>
      <c r="AF33" s="57"/>
    </row>
    <row r="34" spans="2:42" ht="223.5" customHeight="1" x14ac:dyDescent="0.3">
      <c r="B34" s="226">
        <v>9</v>
      </c>
      <c r="C34" s="181" t="str">
        <f>VLOOKUP(B34,codr,6,0)</f>
        <v>Posibilidad de pagar premios a usuarios y/o clientes en la página web de la Lotería o de manera tradicional, sin verificar la identidad del ganador y/o que este relacionado en actividades de LA/FT/FPADM.</v>
      </c>
      <c r="D34" s="149" t="s">
        <v>533</v>
      </c>
      <c r="E34" s="210" t="s">
        <v>461</v>
      </c>
      <c r="F34" s="100" t="s">
        <v>473</v>
      </c>
      <c r="G34" s="101" t="s">
        <v>474</v>
      </c>
      <c r="H34" s="101" t="s">
        <v>488</v>
      </c>
      <c r="I34" s="101" t="s">
        <v>476</v>
      </c>
      <c r="J34" s="102" t="s">
        <v>466</v>
      </c>
      <c r="K34" s="102" t="s">
        <v>466</v>
      </c>
      <c r="L34" s="102" t="s">
        <v>466</v>
      </c>
      <c r="M34" s="102" t="s">
        <v>466</v>
      </c>
      <c r="N34" s="103" t="s">
        <v>493</v>
      </c>
      <c r="O34" s="123" t="s">
        <v>100</v>
      </c>
      <c r="P34" s="101"/>
      <c r="Q34" s="104" t="s">
        <v>154</v>
      </c>
      <c r="R34" s="104" t="s">
        <v>154</v>
      </c>
      <c r="S34" s="104" t="s">
        <v>154</v>
      </c>
      <c r="T34" s="105">
        <f t="shared" si="4"/>
        <v>20</v>
      </c>
      <c r="U34" s="106"/>
      <c r="V34" s="106"/>
      <c r="W34" s="106" t="s">
        <v>154</v>
      </c>
      <c r="X34" s="107">
        <f t="shared" si="2"/>
        <v>20</v>
      </c>
      <c r="Y34" s="106" t="s">
        <v>154</v>
      </c>
      <c r="Z34" s="106"/>
      <c r="AA34" s="108"/>
      <c r="AB34" s="107">
        <f t="shared" si="0"/>
        <v>60</v>
      </c>
      <c r="AC34" s="109">
        <f t="shared" si="1"/>
        <v>100</v>
      </c>
      <c r="AD34" s="204">
        <f>ROUND(IF(AC35=-1,AC34,IF(AND(AC35&gt;=0,AC34&gt;=0),AVERAGE(AC34:AC35))),0)</f>
        <v>100</v>
      </c>
      <c r="AE34" s="207" t="str">
        <f t="shared" ref="AE34" si="15">IF(AND(AD34&lt;20,AD34&gt;=0),"CRITICA",IF(AND(AD34&lt;61,AD34&gt;=20),"BAJA",IF(AND(AD34&lt;91,AD34&gt;=61),"BUENA",IF(AND(AD34&lt;=100,AD34&gt;=91),"EXCELENTE",0))))</f>
        <v>EXCELENTE</v>
      </c>
      <c r="AF34" s="57"/>
    </row>
    <row r="35" spans="2:42" ht="65" x14ac:dyDescent="0.3">
      <c r="B35" s="227"/>
      <c r="C35" s="181"/>
      <c r="D35" s="149" t="s">
        <v>534</v>
      </c>
      <c r="E35" s="210"/>
      <c r="F35" s="100" t="s">
        <v>513</v>
      </c>
      <c r="G35" s="101" t="s">
        <v>474</v>
      </c>
      <c r="H35" s="101" t="s">
        <v>488</v>
      </c>
      <c r="I35" s="101" t="s">
        <v>465</v>
      </c>
      <c r="J35" s="102" t="s">
        <v>535</v>
      </c>
      <c r="K35" s="102" t="s">
        <v>535</v>
      </c>
      <c r="L35" s="102" t="s">
        <v>535</v>
      </c>
      <c r="M35" s="102" t="s">
        <v>535</v>
      </c>
      <c r="N35" s="103" t="s">
        <v>524</v>
      </c>
      <c r="O35" s="123" t="s">
        <v>100</v>
      </c>
      <c r="P35" s="101"/>
      <c r="Q35" s="104" t="s">
        <v>154</v>
      </c>
      <c r="R35" s="104" t="s">
        <v>154</v>
      </c>
      <c r="S35" s="104" t="s">
        <v>154</v>
      </c>
      <c r="T35" s="105">
        <f t="shared" si="4"/>
        <v>20</v>
      </c>
      <c r="U35" s="106"/>
      <c r="V35" s="106"/>
      <c r="W35" s="106" t="s">
        <v>154</v>
      </c>
      <c r="X35" s="107">
        <f t="shared" si="2"/>
        <v>20</v>
      </c>
      <c r="Y35" s="106" t="s">
        <v>154</v>
      </c>
      <c r="Z35" s="106"/>
      <c r="AA35" s="108"/>
      <c r="AB35" s="107">
        <f t="shared" si="0"/>
        <v>60</v>
      </c>
      <c r="AC35" s="109">
        <f t="shared" si="1"/>
        <v>100</v>
      </c>
      <c r="AD35" s="206"/>
      <c r="AE35" s="209"/>
      <c r="AF35" s="57"/>
    </row>
    <row r="36" spans="2:42" ht="65" x14ac:dyDescent="0.3">
      <c r="B36" s="147">
        <v>10</v>
      </c>
      <c r="C36" s="148" t="str">
        <f>VLOOKUP(B36,codr,6,0)</f>
        <v xml:space="preserve">Posibilidad de que un ganador del premio de la lotería venda o realice algun tipo de negociación con un tercero, para transferir la propiedad del billete de lotería con la finalidad de realizar una operación de LA/FT/FPADM. </v>
      </c>
      <c r="D36" s="149" t="s">
        <v>536</v>
      </c>
      <c r="E36" s="145" t="s">
        <v>461</v>
      </c>
      <c r="F36" s="100" t="s">
        <v>513</v>
      </c>
      <c r="G36" s="101" t="s">
        <v>463</v>
      </c>
      <c r="H36" s="101" t="s">
        <v>488</v>
      </c>
      <c r="I36" s="101" t="s">
        <v>465</v>
      </c>
      <c r="J36" s="102" t="s">
        <v>537</v>
      </c>
      <c r="K36" s="102" t="s">
        <v>537</v>
      </c>
      <c r="L36" s="102" t="s">
        <v>537</v>
      </c>
      <c r="M36" s="102" t="s">
        <v>537</v>
      </c>
      <c r="N36" s="103" t="s">
        <v>538</v>
      </c>
      <c r="O36" s="123" t="s">
        <v>99</v>
      </c>
      <c r="P36" s="101" t="s">
        <v>154</v>
      </c>
      <c r="Q36" s="104"/>
      <c r="R36" s="104"/>
      <c r="S36" s="104"/>
      <c r="T36" s="105">
        <f t="shared" si="4"/>
        <v>0</v>
      </c>
      <c r="U36" s="106"/>
      <c r="V36" s="106" t="s">
        <v>154</v>
      </c>
      <c r="W36" s="106"/>
      <c r="X36" s="107">
        <f t="shared" si="2"/>
        <v>10</v>
      </c>
      <c r="Y36" s="106" t="s">
        <v>154</v>
      </c>
      <c r="Z36" s="106"/>
      <c r="AA36" s="108"/>
      <c r="AB36" s="107">
        <f t="shared" si="0"/>
        <v>60</v>
      </c>
      <c r="AC36" s="109">
        <f t="shared" si="1"/>
        <v>70</v>
      </c>
      <c r="AD36" s="109">
        <f>ROUND(AC36,0)</f>
        <v>70</v>
      </c>
      <c r="AE36" s="108" t="str">
        <f t="shared" ref="AE36" si="16">IF(AND(AD36&lt;20,AD36&gt;=0),"CRITICA",IF(AND(AD36&lt;61,AD36&gt;=20),"BAJA",IF(AND(AD36&lt;91,AD36&gt;=61),"BUENA",IF(AND(AD36&lt;=100,AD36&gt;=91),"EXCELENTE",0))))</f>
        <v>BUENA</v>
      </c>
      <c r="AF36" s="57"/>
    </row>
    <row r="37" spans="2:42" ht="234.75" customHeight="1" x14ac:dyDescent="0.3">
      <c r="B37" s="226">
        <v>11</v>
      </c>
      <c r="C37" s="181" t="str">
        <f>VLOOKUP(B37,codr,6,0)</f>
        <v>Posibilidad de que los distribuidores y gestores de la Lotería de Bogotá realicen el pago y/o entrega de un premio en dinero o en especie, sin aplicar los protocolos de consulta en las listas vinculantes y de control.</v>
      </c>
      <c r="D37" s="149" t="s">
        <v>539</v>
      </c>
      <c r="E37" s="210" t="s">
        <v>461</v>
      </c>
      <c r="F37" s="100" t="s">
        <v>473</v>
      </c>
      <c r="G37" s="101" t="s">
        <v>474</v>
      </c>
      <c r="H37" s="101" t="s">
        <v>488</v>
      </c>
      <c r="I37" s="101" t="s">
        <v>476</v>
      </c>
      <c r="J37" s="102" t="s">
        <v>466</v>
      </c>
      <c r="K37" s="102" t="s">
        <v>466</v>
      </c>
      <c r="L37" s="102" t="s">
        <v>466</v>
      </c>
      <c r="M37" s="102" t="s">
        <v>466</v>
      </c>
      <c r="N37" s="103" t="s">
        <v>493</v>
      </c>
      <c r="O37" s="123" t="s">
        <v>100</v>
      </c>
      <c r="P37" s="101"/>
      <c r="Q37" s="104" t="s">
        <v>154</v>
      </c>
      <c r="R37" s="104" t="s">
        <v>154</v>
      </c>
      <c r="S37" s="104"/>
      <c r="T37" s="105">
        <f t="shared" si="4"/>
        <v>10</v>
      </c>
      <c r="U37" s="106"/>
      <c r="V37" s="106"/>
      <c r="W37" s="106" t="s">
        <v>154</v>
      </c>
      <c r="X37" s="107">
        <f t="shared" si="2"/>
        <v>20</v>
      </c>
      <c r="Y37" s="106" t="s">
        <v>154</v>
      </c>
      <c r="Z37" s="106"/>
      <c r="AA37" s="108"/>
      <c r="AB37" s="107">
        <f t="shared" si="0"/>
        <v>60</v>
      </c>
      <c r="AC37" s="109">
        <f t="shared" si="1"/>
        <v>90</v>
      </c>
      <c r="AD37" s="211">
        <f t="shared" ref="AD37" si="17">ROUND(IF(AND(AC39=-1,AC38=-1),AC37,IF(AC39=-1,AVERAGE(AC37:AC38),IF(AND(AC39&gt;=0,AC38&gt;=0,AC37&gt;=0),AVERAGE(AC37:AC39)))),0)</f>
        <v>67</v>
      </c>
      <c r="AE37" s="212" t="str">
        <f t="shared" ref="AE37" si="18">IF(AND(AD37&lt;20,AD37&gt;=0),"CRITICA",IF(AND(AD37&lt;61,AD37&gt;=20),"BAJA",IF(AND(AD37&lt;91,AD37&gt;=61),"BUENA",IF(AND(AD37&lt;=100,AD37&gt;=91),"EXCELENTE",0))))</f>
        <v>BUENA</v>
      </c>
      <c r="AF37" s="57"/>
    </row>
    <row r="38" spans="2:42" ht="65" x14ac:dyDescent="0.3">
      <c r="B38" s="227"/>
      <c r="C38" s="181"/>
      <c r="D38" s="149" t="s">
        <v>534</v>
      </c>
      <c r="E38" s="210"/>
      <c r="F38" s="100" t="s">
        <v>513</v>
      </c>
      <c r="G38" s="101" t="s">
        <v>474</v>
      </c>
      <c r="H38" s="101" t="s">
        <v>488</v>
      </c>
      <c r="I38" s="101" t="s">
        <v>465</v>
      </c>
      <c r="J38" s="102" t="s">
        <v>535</v>
      </c>
      <c r="K38" s="102" t="s">
        <v>535</v>
      </c>
      <c r="L38" s="102" t="s">
        <v>535</v>
      </c>
      <c r="M38" s="102" t="s">
        <v>535</v>
      </c>
      <c r="N38" s="103" t="s">
        <v>524</v>
      </c>
      <c r="O38" s="123" t="s">
        <v>100</v>
      </c>
      <c r="P38" s="101"/>
      <c r="Q38" s="104" t="s">
        <v>154</v>
      </c>
      <c r="R38" s="104" t="s">
        <v>154</v>
      </c>
      <c r="S38" s="104" t="s">
        <v>154</v>
      </c>
      <c r="T38" s="105">
        <f t="shared" si="4"/>
        <v>20</v>
      </c>
      <c r="U38" s="106"/>
      <c r="V38" s="106"/>
      <c r="W38" s="106" t="s">
        <v>154</v>
      </c>
      <c r="X38" s="107">
        <f t="shared" si="2"/>
        <v>20</v>
      </c>
      <c r="Y38" s="106" t="s">
        <v>154</v>
      </c>
      <c r="Z38" s="106"/>
      <c r="AA38" s="108"/>
      <c r="AB38" s="107">
        <f t="shared" si="0"/>
        <v>60</v>
      </c>
      <c r="AC38" s="109">
        <f t="shared" si="1"/>
        <v>100</v>
      </c>
      <c r="AD38" s="211"/>
      <c r="AE38" s="212"/>
      <c r="AF38" s="57"/>
    </row>
    <row r="39" spans="2:42" ht="52" x14ac:dyDescent="0.3">
      <c r="B39" s="228"/>
      <c r="C39" s="181"/>
      <c r="D39" s="149" t="s">
        <v>540</v>
      </c>
      <c r="E39" s="210"/>
      <c r="F39" s="100" t="s">
        <v>513</v>
      </c>
      <c r="G39" s="101" t="s">
        <v>474</v>
      </c>
      <c r="H39" s="101" t="s">
        <v>488</v>
      </c>
      <c r="I39" s="101" t="s">
        <v>476</v>
      </c>
      <c r="J39" s="102" t="s">
        <v>466</v>
      </c>
      <c r="K39" s="102" t="s">
        <v>466</v>
      </c>
      <c r="L39" s="102" t="s">
        <v>466</v>
      </c>
      <c r="M39" s="102" t="s">
        <v>466</v>
      </c>
      <c r="N39" s="103" t="s">
        <v>493</v>
      </c>
      <c r="O39" s="123" t="s">
        <v>99</v>
      </c>
      <c r="P39" s="101" t="s">
        <v>154</v>
      </c>
      <c r="Q39" s="104"/>
      <c r="R39" s="104"/>
      <c r="S39" s="104"/>
      <c r="T39" s="105">
        <f t="shared" si="4"/>
        <v>0</v>
      </c>
      <c r="U39" s="106"/>
      <c r="V39" s="106" t="s">
        <v>154</v>
      </c>
      <c r="W39" s="106"/>
      <c r="X39" s="107">
        <f t="shared" si="2"/>
        <v>10</v>
      </c>
      <c r="Y39" s="106"/>
      <c r="Z39" s="106" t="s">
        <v>154</v>
      </c>
      <c r="AA39" s="108"/>
      <c r="AB39" s="107">
        <f t="shared" si="0"/>
        <v>0</v>
      </c>
      <c r="AC39" s="109">
        <f t="shared" si="1"/>
        <v>10</v>
      </c>
      <c r="AD39" s="211"/>
      <c r="AE39" s="212"/>
      <c r="AF39" s="57"/>
    </row>
    <row r="40" spans="2:42" ht="91" x14ac:dyDescent="0.3">
      <c r="B40" s="147">
        <v>12</v>
      </c>
      <c r="C40" s="148" t="str">
        <f>VLOOKUP(B40,codr,6,0)</f>
        <v>Posibilidad que se identifique un cobro continuo de premios en una o más modalidades de juego, por una misma persona o un mismo ganador.</v>
      </c>
      <c r="D40" s="149" t="s">
        <v>541</v>
      </c>
      <c r="E40" s="145" t="s">
        <v>461</v>
      </c>
      <c r="F40" s="100" t="s">
        <v>513</v>
      </c>
      <c r="G40" s="101" t="s">
        <v>474</v>
      </c>
      <c r="H40" s="101" t="s">
        <v>475</v>
      </c>
      <c r="I40" s="101" t="s">
        <v>476</v>
      </c>
      <c r="J40" s="102" t="s">
        <v>466</v>
      </c>
      <c r="K40" s="102" t="s">
        <v>466</v>
      </c>
      <c r="L40" s="102" t="s">
        <v>466</v>
      </c>
      <c r="M40" s="102" t="s">
        <v>466</v>
      </c>
      <c r="N40" s="103" t="s">
        <v>542</v>
      </c>
      <c r="O40" s="123" t="s">
        <v>100</v>
      </c>
      <c r="P40" s="101" t="s">
        <v>154</v>
      </c>
      <c r="Q40" s="104"/>
      <c r="R40" s="104"/>
      <c r="S40" s="104"/>
      <c r="T40" s="105">
        <f t="shared" si="4"/>
        <v>0</v>
      </c>
      <c r="U40" s="106"/>
      <c r="V40" s="106"/>
      <c r="W40" s="106" t="s">
        <v>154</v>
      </c>
      <c r="X40" s="107">
        <f t="shared" si="2"/>
        <v>20</v>
      </c>
      <c r="Y40" s="106" t="s">
        <v>154</v>
      </c>
      <c r="Z40" s="106"/>
      <c r="AA40" s="108"/>
      <c r="AB40" s="107">
        <f t="shared" si="0"/>
        <v>60</v>
      </c>
      <c r="AC40" s="109">
        <f t="shared" si="1"/>
        <v>80</v>
      </c>
      <c r="AD40" s="109">
        <f>ROUND(AC40,0)</f>
        <v>80</v>
      </c>
      <c r="AE40" s="108" t="str">
        <f t="shared" ref="AE40" si="19">IF(AND(AD40&lt;20,AD40&gt;=0),"CRITICA",IF(AND(AD40&lt;61,AD40&gt;=20),"BAJA",IF(AND(AD40&lt;91,AD40&gt;=61),"BUENA",IF(AND(AD40&lt;=100,AD40&gt;=91),"EXCELENTE",0))))</f>
        <v>BUENA</v>
      </c>
      <c r="AF40" s="57"/>
    </row>
    <row r="41" spans="2:42" ht="77.25" customHeight="1" x14ac:dyDescent="0.3">
      <c r="B41" s="148">
        <v>13</v>
      </c>
      <c r="C41" s="154" t="str">
        <f>VLOOKUP(B41,codr,6,0)</f>
        <v>Posibilidad de que el concesionario no implemente un Sistema de LA/FT/FPADM y/o no de cumplimiento a los lineamientos del Acuerdo 574 de 2021 del CNJSA en lateria de LA/FT/FPADM.</v>
      </c>
      <c r="D41" s="149" t="s">
        <v>543</v>
      </c>
      <c r="E41" s="145" t="s">
        <v>461</v>
      </c>
      <c r="F41" s="100" t="s">
        <v>513</v>
      </c>
      <c r="G41" s="101" t="s">
        <v>474</v>
      </c>
      <c r="H41" s="101" t="s">
        <v>505</v>
      </c>
      <c r="I41" s="101" t="s">
        <v>465</v>
      </c>
      <c r="J41" s="102" t="s">
        <v>466</v>
      </c>
      <c r="K41" s="102" t="s">
        <v>466</v>
      </c>
      <c r="L41" s="102" t="s">
        <v>466</v>
      </c>
      <c r="M41" s="102" t="s">
        <v>466</v>
      </c>
      <c r="N41" s="103" t="s">
        <v>544</v>
      </c>
      <c r="O41" s="123" t="s">
        <v>100</v>
      </c>
      <c r="P41" s="101"/>
      <c r="Q41" s="104" t="s">
        <v>154</v>
      </c>
      <c r="R41" s="104" t="s">
        <v>154</v>
      </c>
      <c r="S41" s="104"/>
      <c r="T41" s="105">
        <f t="shared" si="4"/>
        <v>10</v>
      </c>
      <c r="U41" s="106"/>
      <c r="V41" s="106"/>
      <c r="W41" s="106" t="s">
        <v>154</v>
      </c>
      <c r="X41" s="107">
        <f t="shared" si="2"/>
        <v>20</v>
      </c>
      <c r="Y41" s="106" t="s">
        <v>154</v>
      </c>
      <c r="Z41" s="106"/>
      <c r="AA41" s="108"/>
      <c r="AB41" s="107">
        <f t="shared" si="0"/>
        <v>60</v>
      </c>
      <c r="AC41" s="109">
        <f t="shared" si="1"/>
        <v>90</v>
      </c>
      <c r="AD41" s="155">
        <f>ROUND(AC41,0)</f>
        <v>90</v>
      </c>
      <c r="AE41" s="156" t="str">
        <f t="shared" ref="AE41" si="20">IF(AND(AD41&lt;20,AD41&gt;=0),"CRITICA",IF(AND(AD41&lt;61,AD41&gt;=20),"BAJA",IF(AND(AD41&lt;91,AD41&gt;=61),"BUENA",IF(AND(AD41&lt;=100,AD41&gt;=91),"EXCELENTE",0))))</f>
        <v>BUENA</v>
      </c>
      <c r="AF41" s="57"/>
    </row>
    <row r="42" spans="2:42" x14ac:dyDescent="0.3">
      <c r="P42" s="27"/>
      <c r="Q42" s="27"/>
      <c r="R42" s="27"/>
      <c r="S42" s="27"/>
      <c r="U42" s="27"/>
      <c r="V42" s="27"/>
      <c r="W42" s="27"/>
      <c r="AF42" s="57"/>
    </row>
    <row r="43" spans="2:42" ht="146.15" customHeight="1" x14ac:dyDescent="0.3">
      <c r="P43" s="27"/>
      <c r="Q43" s="27"/>
      <c r="R43" s="27"/>
      <c r="S43" s="27"/>
      <c r="U43" s="27"/>
      <c r="V43" s="27"/>
      <c r="W43" s="27"/>
      <c r="AC43" s="146"/>
      <c r="AF43" s="57"/>
    </row>
    <row r="44" spans="2:42" ht="78" customHeight="1" x14ac:dyDescent="0.3">
      <c r="P44" s="27"/>
      <c r="Q44" s="27"/>
      <c r="R44" s="27"/>
      <c r="S44" s="27"/>
      <c r="U44" s="27"/>
      <c r="V44" s="27"/>
      <c r="W44" s="27"/>
      <c r="AF44" s="57"/>
    </row>
    <row r="45" spans="2:42" ht="68.150000000000006" customHeight="1" x14ac:dyDescent="0.3">
      <c r="P45" s="27"/>
      <c r="Q45" s="27"/>
      <c r="R45" s="27"/>
      <c r="S45" s="27"/>
      <c r="U45" s="27"/>
      <c r="V45" s="27"/>
      <c r="W45" s="27"/>
      <c r="AF45" s="57"/>
    </row>
    <row r="46" spans="2:42" ht="38.15" customHeight="1" x14ac:dyDescent="0.3">
      <c r="P46" s="27"/>
      <c r="Q46" s="27"/>
      <c r="R46" s="27"/>
      <c r="S46" s="27"/>
      <c r="U46" s="27"/>
      <c r="V46" s="27"/>
      <c r="W46" s="27"/>
      <c r="AG46" s="26"/>
      <c r="AH46" s="26"/>
      <c r="AI46" s="26"/>
      <c r="AJ46" s="26"/>
      <c r="AK46" s="26"/>
      <c r="AL46" s="26"/>
      <c r="AM46" s="26"/>
      <c r="AN46" s="26"/>
      <c r="AO46" s="26"/>
      <c r="AP46" s="26"/>
    </row>
    <row r="47" spans="2:42" ht="38.15" customHeight="1" x14ac:dyDescent="0.3">
      <c r="P47" s="27"/>
      <c r="Q47" s="27"/>
      <c r="R47" s="27"/>
      <c r="S47" s="27"/>
      <c r="U47" s="27"/>
      <c r="V47" s="27"/>
      <c r="W47" s="27"/>
      <c r="AG47" s="26"/>
      <c r="AH47" s="26"/>
      <c r="AI47" s="26"/>
      <c r="AJ47" s="26"/>
      <c r="AK47" s="26"/>
      <c r="AL47" s="26"/>
      <c r="AM47" s="26"/>
      <c r="AN47" s="26"/>
      <c r="AO47" s="26"/>
      <c r="AP47" s="26"/>
    </row>
    <row r="48" spans="2:42" ht="38.15" customHeight="1" x14ac:dyDescent="0.3">
      <c r="P48" s="27"/>
      <c r="Q48" s="27"/>
      <c r="R48" s="27"/>
      <c r="S48" s="27"/>
      <c r="U48" s="27"/>
      <c r="V48" s="27"/>
      <c r="W48" s="27"/>
      <c r="AG48" s="26"/>
      <c r="AH48" s="26"/>
      <c r="AI48" s="26"/>
      <c r="AJ48" s="26"/>
      <c r="AK48" s="26"/>
      <c r="AL48" s="26"/>
      <c r="AM48" s="26"/>
      <c r="AN48" s="26"/>
      <c r="AO48" s="26"/>
      <c r="AP48" s="26"/>
    </row>
    <row r="49" spans="16:42" ht="38.15" customHeight="1" x14ac:dyDescent="0.3">
      <c r="P49" s="27"/>
      <c r="Q49" s="27"/>
      <c r="R49" s="27"/>
      <c r="S49" s="27"/>
      <c r="U49" s="27"/>
      <c r="V49" s="27"/>
      <c r="W49" s="27"/>
      <c r="AG49" s="26"/>
      <c r="AH49" s="26"/>
      <c r="AI49" s="26"/>
      <c r="AJ49" s="26"/>
      <c r="AK49" s="26"/>
      <c r="AL49" s="26"/>
      <c r="AM49" s="26"/>
      <c r="AN49" s="26"/>
      <c r="AO49" s="26"/>
      <c r="AP49" s="26"/>
    </row>
    <row r="50" spans="16:42" ht="38.15" customHeight="1" x14ac:dyDescent="0.3">
      <c r="P50" s="27"/>
      <c r="Q50" s="27"/>
      <c r="R50" s="27"/>
      <c r="S50" s="27"/>
      <c r="U50" s="27"/>
      <c r="V50" s="27"/>
      <c r="W50" s="27"/>
      <c r="AG50" s="26"/>
      <c r="AH50" s="26"/>
      <c r="AI50" s="26"/>
      <c r="AJ50" s="26"/>
      <c r="AK50" s="26"/>
      <c r="AL50" s="26"/>
      <c r="AM50" s="26"/>
      <c r="AN50" s="26"/>
      <c r="AO50" s="26"/>
      <c r="AP50" s="26"/>
    </row>
    <row r="51" spans="16:42" ht="38.15" customHeight="1" x14ac:dyDescent="0.3">
      <c r="P51" s="27"/>
      <c r="Q51" s="27"/>
      <c r="R51" s="27"/>
      <c r="S51" s="27"/>
      <c r="U51" s="27"/>
      <c r="V51" s="27"/>
      <c r="W51" s="27"/>
      <c r="AG51" s="26"/>
      <c r="AH51" s="26"/>
      <c r="AI51" s="26"/>
      <c r="AJ51" s="26"/>
      <c r="AK51" s="26"/>
      <c r="AL51" s="26"/>
      <c r="AM51" s="26"/>
      <c r="AN51" s="26"/>
      <c r="AO51" s="26"/>
      <c r="AP51" s="26"/>
    </row>
    <row r="52" spans="16:42" ht="38.15" customHeight="1" x14ac:dyDescent="0.3">
      <c r="P52" s="27"/>
      <c r="Q52" s="27"/>
      <c r="R52" s="27"/>
      <c r="S52" s="27"/>
      <c r="U52" s="27"/>
      <c r="V52" s="27"/>
      <c r="W52" s="27"/>
      <c r="AG52" s="26"/>
      <c r="AH52" s="26"/>
      <c r="AI52" s="26"/>
      <c r="AJ52" s="26"/>
      <c r="AK52" s="26"/>
      <c r="AL52" s="26"/>
      <c r="AM52" s="26"/>
      <c r="AN52" s="26"/>
      <c r="AO52" s="26"/>
      <c r="AP52" s="26"/>
    </row>
    <row r="53" spans="16:42" ht="38.15" customHeight="1" x14ac:dyDescent="0.3">
      <c r="P53" s="27"/>
      <c r="Q53" s="27"/>
      <c r="R53" s="27"/>
      <c r="S53" s="27"/>
      <c r="U53" s="27"/>
      <c r="V53" s="27"/>
      <c r="W53" s="27"/>
      <c r="AG53" s="26"/>
      <c r="AH53" s="26"/>
      <c r="AI53" s="26"/>
      <c r="AJ53" s="26"/>
      <c r="AK53" s="26"/>
      <c r="AL53" s="26"/>
      <c r="AM53" s="26"/>
      <c r="AN53" s="26"/>
      <c r="AO53" s="26"/>
      <c r="AP53" s="26"/>
    </row>
    <row r="54" spans="16:42" ht="38.15" customHeight="1" x14ac:dyDescent="0.3">
      <c r="P54" s="27"/>
      <c r="Q54" s="27"/>
      <c r="R54" s="27"/>
      <c r="S54" s="27"/>
      <c r="U54" s="27"/>
      <c r="V54" s="27"/>
      <c r="W54" s="27"/>
      <c r="AG54" s="26"/>
      <c r="AH54" s="26"/>
      <c r="AI54" s="26"/>
      <c r="AJ54" s="26"/>
      <c r="AK54" s="26"/>
      <c r="AL54" s="26"/>
      <c r="AM54" s="26"/>
      <c r="AN54" s="26"/>
      <c r="AO54" s="26"/>
      <c r="AP54" s="26"/>
    </row>
    <row r="55" spans="16:42" ht="38.15" customHeight="1" x14ac:dyDescent="0.3">
      <c r="P55" s="27"/>
      <c r="Q55" s="27"/>
      <c r="R55" s="27"/>
      <c r="S55" s="27"/>
      <c r="U55" s="27"/>
      <c r="V55" s="27"/>
      <c r="W55" s="27"/>
      <c r="AG55" s="26"/>
      <c r="AH55" s="26"/>
      <c r="AI55" s="26"/>
      <c r="AJ55" s="26"/>
      <c r="AK55" s="26"/>
      <c r="AL55" s="26"/>
      <c r="AM55" s="26"/>
      <c r="AN55" s="26"/>
      <c r="AO55" s="26"/>
      <c r="AP55" s="26"/>
    </row>
    <row r="56" spans="16:42" ht="38.15" customHeight="1" x14ac:dyDescent="0.3">
      <c r="P56" s="27"/>
      <c r="Q56" s="27"/>
      <c r="R56" s="27"/>
      <c r="S56" s="27"/>
      <c r="U56" s="27"/>
      <c r="V56" s="27"/>
      <c r="W56" s="27"/>
      <c r="AG56" s="26"/>
      <c r="AH56" s="26"/>
      <c r="AI56" s="26"/>
      <c r="AJ56" s="26"/>
      <c r="AK56" s="26"/>
      <c r="AL56" s="26"/>
      <c r="AM56" s="26"/>
      <c r="AN56" s="26"/>
      <c r="AO56" s="26"/>
      <c r="AP56" s="26"/>
    </row>
    <row r="57" spans="16:42" ht="38.15" customHeight="1" x14ac:dyDescent="0.3">
      <c r="P57" s="27"/>
      <c r="Q57" s="27"/>
      <c r="R57" s="27"/>
      <c r="S57" s="27"/>
      <c r="U57" s="27"/>
      <c r="V57" s="27"/>
      <c r="W57" s="27"/>
      <c r="AG57" s="26"/>
      <c r="AH57" s="26"/>
      <c r="AI57" s="26"/>
      <c r="AJ57" s="26"/>
      <c r="AK57" s="26"/>
      <c r="AL57" s="26"/>
      <c r="AM57" s="26"/>
      <c r="AN57" s="26"/>
      <c r="AO57" s="26"/>
      <c r="AP57" s="26"/>
    </row>
    <row r="58" spans="16:42" ht="38.15" customHeight="1" x14ac:dyDescent="0.3">
      <c r="P58" s="27"/>
      <c r="Q58" s="27"/>
      <c r="R58" s="27"/>
      <c r="S58" s="27"/>
      <c r="U58" s="27"/>
      <c r="V58" s="27"/>
      <c r="W58" s="27"/>
      <c r="AG58" s="26"/>
      <c r="AH58" s="26"/>
      <c r="AI58" s="26"/>
      <c r="AJ58" s="26"/>
      <c r="AK58" s="26"/>
      <c r="AL58" s="26"/>
      <c r="AM58" s="26"/>
      <c r="AN58" s="26"/>
      <c r="AO58" s="26"/>
      <c r="AP58" s="26"/>
    </row>
    <row r="59" spans="16:42" ht="38.15" customHeight="1" x14ac:dyDescent="0.3">
      <c r="P59" s="27"/>
      <c r="Q59" s="27"/>
      <c r="R59" s="27"/>
      <c r="S59" s="27"/>
      <c r="U59" s="27"/>
      <c r="V59" s="27"/>
      <c r="W59" s="27"/>
      <c r="AG59" s="26"/>
      <c r="AH59" s="26"/>
      <c r="AI59" s="26"/>
      <c r="AJ59" s="26"/>
      <c r="AK59" s="26"/>
      <c r="AL59" s="26"/>
      <c r="AM59" s="26"/>
      <c r="AN59" s="26"/>
      <c r="AO59" s="26"/>
      <c r="AP59" s="26"/>
    </row>
    <row r="60" spans="16:42" ht="38.15" customHeight="1" x14ac:dyDescent="0.3">
      <c r="P60" s="27"/>
      <c r="Q60" s="27"/>
      <c r="R60" s="27"/>
      <c r="S60" s="27"/>
      <c r="U60" s="27"/>
      <c r="V60" s="27"/>
      <c r="W60" s="27"/>
      <c r="AG60" s="26"/>
      <c r="AH60" s="26"/>
      <c r="AI60" s="26"/>
      <c r="AJ60" s="26"/>
      <c r="AK60" s="26"/>
      <c r="AL60" s="26"/>
      <c r="AM60" s="26"/>
      <c r="AN60" s="26"/>
      <c r="AO60" s="26"/>
      <c r="AP60" s="26"/>
    </row>
    <row r="61" spans="16:42" ht="38.15" customHeight="1" x14ac:dyDescent="0.3">
      <c r="P61" s="27"/>
      <c r="Q61" s="27"/>
      <c r="R61" s="27"/>
      <c r="S61" s="27"/>
      <c r="U61" s="27"/>
      <c r="V61" s="27"/>
      <c r="W61" s="27"/>
      <c r="AG61" s="26"/>
      <c r="AH61" s="26"/>
      <c r="AI61" s="26"/>
      <c r="AJ61" s="26"/>
      <c r="AK61" s="26"/>
      <c r="AL61" s="26"/>
      <c r="AM61" s="26"/>
      <c r="AN61" s="26"/>
      <c r="AO61" s="26"/>
      <c r="AP61" s="26"/>
    </row>
    <row r="62" spans="16:42" ht="38.15" customHeight="1" x14ac:dyDescent="0.3">
      <c r="P62" s="27"/>
      <c r="Q62" s="27"/>
      <c r="R62" s="27"/>
      <c r="S62" s="27"/>
      <c r="U62" s="27"/>
      <c r="V62" s="27"/>
      <c r="W62" s="27"/>
      <c r="AG62" s="26"/>
      <c r="AH62" s="26"/>
      <c r="AI62" s="26"/>
      <c r="AJ62" s="26"/>
      <c r="AK62" s="26"/>
      <c r="AL62" s="26"/>
      <c r="AM62" s="26"/>
      <c r="AN62" s="26"/>
      <c r="AO62" s="26"/>
      <c r="AP62" s="26"/>
    </row>
    <row r="63" spans="16:42" ht="38.15" customHeight="1" x14ac:dyDescent="0.3">
      <c r="P63" s="27"/>
      <c r="Q63" s="27"/>
      <c r="R63" s="27"/>
      <c r="S63" s="27"/>
      <c r="U63" s="27"/>
      <c r="V63" s="27"/>
      <c r="W63" s="27"/>
      <c r="AG63" s="26"/>
      <c r="AH63" s="26"/>
      <c r="AI63" s="26"/>
      <c r="AJ63" s="26"/>
      <c r="AK63" s="26"/>
      <c r="AL63" s="26"/>
      <c r="AM63" s="26"/>
      <c r="AN63" s="26"/>
      <c r="AO63" s="26"/>
      <c r="AP63" s="26"/>
    </row>
    <row r="64" spans="16:42" ht="38.15" customHeight="1" x14ac:dyDescent="0.3">
      <c r="P64" s="27"/>
      <c r="Q64" s="27"/>
      <c r="R64" s="27"/>
      <c r="S64" s="27"/>
      <c r="U64" s="27"/>
      <c r="V64" s="27"/>
      <c r="W64" s="27"/>
      <c r="AG64" s="26"/>
      <c r="AH64" s="26"/>
      <c r="AI64" s="26"/>
      <c r="AJ64" s="26"/>
      <c r="AK64" s="26"/>
      <c r="AL64" s="26"/>
      <c r="AM64" s="26"/>
      <c r="AN64" s="26"/>
      <c r="AO64" s="26"/>
      <c r="AP64" s="26"/>
    </row>
    <row r="65" spans="16:42" ht="38.15" customHeight="1" x14ac:dyDescent="0.3">
      <c r="P65" s="27"/>
      <c r="Q65" s="27"/>
      <c r="R65" s="27"/>
      <c r="S65" s="27"/>
      <c r="U65" s="27"/>
      <c r="V65" s="27"/>
      <c r="W65" s="27"/>
      <c r="AG65" s="26"/>
      <c r="AH65" s="26"/>
      <c r="AI65" s="26"/>
      <c r="AJ65" s="26"/>
      <c r="AK65" s="26"/>
      <c r="AL65" s="26"/>
      <c r="AM65" s="26"/>
      <c r="AN65" s="26"/>
      <c r="AO65" s="26"/>
      <c r="AP65" s="26"/>
    </row>
    <row r="66" spans="16:42" ht="38.15" customHeight="1" x14ac:dyDescent="0.3">
      <c r="P66" s="27"/>
      <c r="Q66" s="27"/>
      <c r="R66" s="27"/>
      <c r="S66" s="27"/>
      <c r="U66" s="27"/>
      <c r="V66" s="27"/>
      <c r="W66" s="27"/>
      <c r="AG66" s="26"/>
      <c r="AH66" s="26"/>
      <c r="AI66" s="26"/>
      <c r="AJ66" s="26"/>
      <c r="AK66" s="26"/>
      <c r="AL66" s="26"/>
      <c r="AM66" s="26"/>
      <c r="AN66" s="26"/>
      <c r="AO66" s="26"/>
      <c r="AP66" s="26"/>
    </row>
    <row r="67" spans="16:42" ht="38.15" customHeight="1" x14ac:dyDescent="0.3">
      <c r="P67" s="27"/>
      <c r="Q67" s="27"/>
      <c r="R67" s="27"/>
      <c r="S67" s="27"/>
      <c r="U67" s="27"/>
      <c r="V67" s="27"/>
      <c r="W67" s="27"/>
      <c r="AG67" s="26"/>
      <c r="AH67" s="26"/>
      <c r="AI67" s="26"/>
      <c r="AJ67" s="26"/>
      <c r="AK67" s="26"/>
      <c r="AL67" s="26"/>
      <c r="AM67" s="26"/>
      <c r="AN67" s="26"/>
      <c r="AO67" s="26"/>
      <c r="AP67" s="26"/>
    </row>
    <row r="68" spans="16:42" ht="38.15" customHeight="1" x14ac:dyDescent="0.3">
      <c r="P68" s="27"/>
      <c r="Q68" s="27"/>
      <c r="R68" s="27"/>
      <c r="S68" s="27"/>
      <c r="U68" s="27"/>
      <c r="V68" s="27"/>
      <c r="W68" s="27"/>
      <c r="AG68" s="26"/>
      <c r="AH68" s="26"/>
      <c r="AI68" s="26"/>
      <c r="AJ68" s="26"/>
      <c r="AK68" s="26"/>
      <c r="AL68" s="26"/>
      <c r="AM68" s="26"/>
      <c r="AN68" s="26"/>
      <c r="AO68" s="26"/>
      <c r="AP68" s="26"/>
    </row>
    <row r="69" spans="16:42" ht="38.15" customHeight="1" x14ac:dyDescent="0.3">
      <c r="P69" s="27"/>
      <c r="Q69" s="27"/>
      <c r="R69" s="27"/>
      <c r="S69" s="27"/>
      <c r="U69" s="27"/>
      <c r="V69" s="27"/>
      <c r="W69" s="27"/>
      <c r="AG69" s="26"/>
      <c r="AH69" s="26"/>
      <c r="AI69" s="26"/>
      <c r="AJ69" s="26"/>
      <c r="AK69" s="26"/>
      <c r="AL69" s="26"/>
      <c r="AM69" s="26"/>
      <c r="AN69" s="26"/>
      <c r="AO69" s="26"/>
      <c r="AP69" s="26"/>
    </row>
    <row r="70" spans="16:42" ht="38.15" customHeight="1" x14ac:dyDescent="0.3">
      <c r="P70" s="27"/>
      <c r="Q70" s="27"/>
      <c r="R70" s="27"/>
      <c r="S70" s="27"/>
      <c r="U70" s="27"/>
      <c r="V70" s="27"/>
      <c r="W70" s="27"/>
      <c r="AG70" s="26"/>
      <c r="AH70" s="26"/>
      <c r="AI70" s="26"/>
      <c r="AJ70" s="26"/>
      <c r="AK70" s="26"/>
      <c r="AL70" s="26"/>
      <c r="AM70" s="26"/>
      <c r="AN70" s="26"/>
      <c r="AO70" s="26"/>
      <c r="AP70" s="26"/>
    </row>
    <row r="71" spans="16:42" ht="38.15" customHeight="1" x14ac:dyDescent="0.3">
      <c r="P71" s="27"/>
      <c r="Q71" s="27"/>
      <c r="R71" s="27"/>
      <c r="S71" s="27"/>
      <c r="U71" s="27"/>
      <c r="V71" s="27"/>
      <c r="W71" s="27"/>
      <c r="AG71" s="26"/>
      <c r="AH71" s="26"/>
      <c r="AI71" s="26"/>
      <c r="AJ71" s="26"/>
      <c r="AK71" s="26"/>
      <c r="AL71" s="26"/>
      <c r="AM71" s="26"/>
      <c r="AN71" s="26"/>
      <c r="AO71" s="26"/>
      <c r="AP71" s="26"/>
    </row>
    <row r="72" spans="16:42" ht="38.15" customHeight="1" x14ac:dyDescent="0.3">
      <c r="P72" s="27"/>
      <c r="Q72" s="27"/>
      <c r="R72" s="27"/>
      <c r="S72" s="27"/>
      <c r="U72" s="27"/>
      <c r="V72" s="27"/>
      <c r="W72" s="27"/>
      <c r="AG72" s="26"/>
      <c r="AH72" s="26"/>
      <c r="AI72" s="26"/>
      <c r="AJ72" s="26"/>
      <c r="AK72" s="26"/>
      <c r="AL72" s="26"/>
      <c r="AM72" s="26"/>
      <c r="AN72" s="26"/>
      <c r="AO72" s="26"/>
      <c r="AP72" s="26"/>
    </row>
    <row r="73" spans="16:42" ht="38.15" customHeight="1" x14ac:dyDescent="0.3">
      <c r="P73" s="27"/>
      <c r="Q73" s="27"/>
      <c r="R73" s="27"/>
      <c r="S73" s="27"/>
      <c r="U73" s="27"/>
      <c r="V73" s="27"/>
      <c r="W73" s="27"/>
      <c r="AG73" s="26"/>
      <c r="AH73" s="26"/>
      <c r="AI73" s="26"/>
      <c r="AJ73" s="26"/>
      <c r="AK73" s="26"/>
      <c r="AL73" s="26"/>
      <c r="AM73" s="26"/>
      <c r="AN73" s="26"/>
      <c r="AO73" s="26"/>
      <c r="AP73" s="26"/>
    </row>
    <row r="74" spans="16:42" ht="38.15" customHeight="1" x14ac:dyDescent="0.3">
      <c r="P74" s="27"/>
      <c r="Q74" s="27"/>
      <c r="R74" s="27"/>
      <c r="S74" s="27"/>
      <c r="U74" s="27"/>
      <c r="V74" s="27"/>
      <c r="W74" s="27"/>
      <c r="AG74" s="26"/>
      <c r="AH74" s="26"/>
      <c r="AI74" s="26"/>
      <c r="AJ74" s="26"/>
      <c r="AK74" s="26"/>
      <c r="AL74" s="26"/>
      <c r="AM74" s="26"/>
      <c r="AN74" s="26"/>
      <c r="AO74" s="26"/>
      <c r="AP74" s="26"/>
    </row>
    <row r="75" spans="16:42" ht="38.15" customHeight="1" x14ac:dyDescent="0.3">
      <c r="P75" s="27"/>
      <c r="Q75" s="27"/>
      <c r="R75" s="27"/>
      <c r="S75" s="27"/>
      <c r="U75" s="27"/>
      <c r="V75" s="27"/>
      <c r="W75" s="27"/>
      <c r="AG75" s="26"/>
      <c r="AH75" s="26"/>
      <c r="AI75" s="26"/>
      <c r="AJ75" s="26"/>
      <c r="AK75" s="26"/>
      <c r="AL75" s="26"/>
      <c r="AM75" s="26"/>
      <c r="AN75" s="26"/>
      <c r="AO75" s="26"/>
      <c r="AP75" s="26"/>
    </row>
    <row r="76" spans="16:42" ht="38.15" customHeight="1" x14ac:dyDescent="0.3">
      <c r="P76" s="27"/>
      <c r="Q76" s="27"/>
      <c r="R76" s="27"/>
      <c r="S76" s="27"/>
      <c r="U76" s="27"/>
      <c r="V76" s="27"/>
      <c r="W76" s="27"/>
      <c r="AG76" s="26"/>
      <c r="AH76" s="26"/>
      <c r="AI76" s="26"/>
      <c r="AJ76" s="26"/>
      <c r="AK76" s="26"/>
      <c r="AL76" s="26"/>
      <c r="AM76" s="26"/>
      <c r="AN76" s="26"/>
      <c r="AO76" s="26"/>
      <c r="AP76" s="26"/>
    </row>
    <row r="77" spans="16:42" ht="38.15" customHeight="1" x14ac:dyDescent="0.3">
      <c r="P77" s="27"/>
      <c r="Q77" s="27"/>
      <c r="R77" s="27"/>
      <c r="S77" s="27"/>
      <c r="U77" s="27"/>
      <c r="V77" s="27"/>
      <c r="W77" s="27"/>
      <c r="AG77" s="26"/>
      <c r="AH77" s="26"/>
      <c r="AI77" s="26"/>
      <c r="AJ77" s="26"/>
      <c r="AK77" s="26"/>
      <c r="AL77" s="26"/>
      <c r="AM77" s="26"/>
      <c r="AN77" s="26"/>
      <c r="AO77" s="26"/>
      <c r="AP77" s="26"/>
    </row>
    <row r="78" spans="16:42" ht="38.15" customHeight="1" x14ac:dyDescent="0.3">
      <c r="P78" s="27"/>
      <c r="Q78" s="27"/>
      <c r="R78" s="27"/>
      <c r="S78" s="27"/>
      <c r="U78" s="27"/>
      <c r="V78" s="27"/>
      <c r="W78" s="27"/>
      <c r="AG78" s="26"/>
      <c r="AH78" s="26"/>
      <c r="AI78" s="26"/>
      <c r="AJ78" s="26"/>
      <c r="AK78" s="26"/>
      <c r="AL78" s="26"/>
      <c r="AM78" s="26"/>
      <c r="AN78" s="26"/>
      <c r="AO78" s="26"/>
      <c r="AP78" s="26"/>
    </row>
    <row r="79" spans="16:42" ht="38.15" customHeight="1" x14ac:dyDescent="0.3">
      <c r="P79" s="27"/>
      <c r="Q79" s="27"/>
      <c r="R79" s="27"/>
      <c r="S79" s="27"/>
      <c r="U79" s="27"/>
      <c r="V79" s="27"/>
      <c r="W79" s="27"/>
      <c r="AG79" s="26"/>
      <c r="AH79" s="26"/>
      <c r="AI79" s="26"/>
      <c r="AJ79" s="26"/>
      <c r="AK79" s="26"/>
      <c r="AL79" s="26"/>
      <c r="AM79" s="26"/>
      <c r="AN79" s="26"/>
      <c r="AO79" s="26"/>
      <c r="AP79" s="26"/>
    </row>
    <row r="80" spans="16:42" ht="38.15" customHeight="1" x14ac:dyDescent="0.3">
      <c r="P80" s="27"/>
      <c r="Q80" s="27"/>
      <c r="R80" s="27"/>
      <c r="S80" s="27"/>
      <c r="U80" s="27"/>
      <c r="V80" s="27"/>
      <c r="W80" s="27"/>
      <c r="AG80" s="26"/>
      <c r="AH80" s="26"/>
      <c r="AI80" s="26"/>
      <c r="AJ80" s="26"/>
      <c r="AK80" s="26"/>
      <c r="AL80" s="26"/>
      <c r="AM80" s="26"/>
      <c r="AN80" s="26"/>
      <c r="AO80" s="26"/>
      <c r="AP80" s="26"/>
    </row>
    <row r="81" spans="5:42" ht="38.15" customHeight="1" x14ac:dyDescent="0.3">
      <c r="E81" s="25"/>
      <c r="P81" s="27"/>
      <c r="Q81" s="27"/>
      <c r="R81" s="27"/>
      <c r="S81" s="27"/>
      <c r="U81" s="27"/>
      <c r="V81" s="27"/>
      <c r="W81" s="27"/>
      <c r="AG81" s="26"/>
      <c r="AH81" s="26"/>
      <c r="AI81" s="26"/>
      <c r="AJ81" s="26"/>
      <c r="AK81" s="26"/>
      <c r="AL81" s="26"/>
      <c r="AM81" s="26"/>
      <c r="AN81" s="26"/>
      <c r="AO81" s="26"/>
      <c r="AP81" s="26"/>
    </row>
    <row r="82" spans="5:42" ht="38.15" customHeight="1" x14ac:dyDescent="0.3">
      <c r="E82" s="25"/>
      <c r="P82" s="27"/>
      <c r="Q82" s="27"/>
      <c r="R82" s="27"/>
      <c r="S82" s="27"/>
      <c r="U82" s="27"/>
      <c r="V82" s="27"/>
      <c r="W82" s="27"/>
      <c r="AG82" s="26"/>
      <c r="AH82" s="26"/>
      <c r="AI82" s="26"/>
      <c r="AJ82" s="26"/>
      <c r="AK82" s="26"/>
      <c r="AL82" s="26"/>
      <c r="AM82" s="26"/>
      <c r="AN82" s="26"/>
      <c r="AO82" s="26"/>
      <c r="AP82" s="26"/>
    </row>
    <row r="83" spans="5:42" ht="38.15" customHeight="1" x14ac:dyDescent="0.3">
      <c r="E83" s="25"/>
      <c r="P83" s="27"/>
      <c r="Q83" s="27"/>
      <c r="R83" s="27"/>
      <c r="S83" s="27"/>
      <c r="U83" s="27"/>
      <c r="V83" s="27"/>
      <c r="W83" s="27"/>
      <c r="AG83" s="26"/>
      <c r="AH83" s="26"/>
      <c r="AI83" s="26"/>
      <c r="AJ83" s="26"/>
      <c r="AK83" s="26"/>
      <c r="AL83" s="26"/>
      <c r="AM83" s="26"/>
      <c r="AN83" s="26"/>
      <c r="AO83" s="26"/>
      <c r="AP83" s="26"/>
    </row>
    <row r="84" spans="5:42" ht="38.15" customHeight="1" x14ac:dyDescent="0.3">
      <c r="E84" s="25"/>
      <c r="P84" s="27"/>
      <c r="Q84" s="27"/>
      <c r="R84" s="27"/>
      <c r="S84" s="27"/>
      <c r="U84" s="27"/>
      <c r="V84" s="27"/>
      <c r="W84" s="27"/>
      <c r="AG84" s="26"/>
      <c r="AH84" s="26"/>
      <c r="AI84" s="26"/>
      <c r="AJ84" s="26"/>
      <c r="AK84" s="26"/>
      <c r="AL84" s="26"/>
      <c r="AM84" s="26"/>
      <c r="AN84" s="26"/>
      <c r="AO84" s="26"/>
      <c r="AP84" s="26"/>
    </row>
    <row r="85" spans="5:42" ht="38.15" customHeight="1" x14ac:dyDescent="0.3">
      <c r="E85" s="25"/>
      <c r="P85" s="27"/>
      <c r="Q85" s="27"/>
      <c r="R85" s="27"/>
      <c r="S85" s="27"/>
      <c r="U85" s="27"/>
      <c r="V85" s="27"/>
      <c r="W85" s="27"/>
      <c r="AG85" s="26"/>
      <c r="AH85" s="26"/>
      <c r="AI85" s="26"/>
      <c r="AJ85" s="26"/>
      <c r="AK85" s="26"/>
      <c r="AL85" s="26"/>
      <c r="AM85" s="26"/>
      <c r="AN85" s="26"/>
      <c r="AO85" s="26"/>
      <c r="AP85" s="26"/>
    </row>
    <row r="86" spans="5:42" ht="38.15" customHeight="1" x14ac:dyDescent="0.3">
      <c r="E86" s="25"/>
      <c r="P86" s="27"/>
      <c r="Q86" s="27"/>
      <c r="R86" s="27"/>
      <c r="S86" s="27"/>
      <c r="U86" s="27"/>
      <c r="V86" s="27"/>
      <c r="W86" s="27"/>
      <c r="AG86" s="26"/>
      <c r="AH86" s="26"/>
      <c r="AI86" s="26"/>
      <c r="AJ86" s="26"/>
      <c r="AK86" s="26"/>
      <c r="AL86" s="26"/>
      <c r="AM86" s="26"/>
      <c r="AN86" s="26"/>
      <c r="AO86" s="26"/>
      <c r="AP86" s="26"/>
    </row>
    <row r="87" spans="5:42" ht="38.15" customHeight="1" x14ac:dyDescent="0.3">
      <c r="E87" s="25"/>
      <c r="P87" s="27"/>
      <c r="Q87" s="27"/>
      <c r="R87" s="27"/>
      <c r="S87" s="27"/>
      <c r="U87" s="27"/>
      <c r="V87" s="27"/>
      <c r="W87" s="27"/>
      <c r="AG87" s="26"/>
      <c r="AH87" s="26"/>
      <c r="AI87" s="26"/>
      <c r="AJ87" s="26"/>
      <c r="AK87" s="26"/>
      <c r="AL87" s="26"/>
      <c r="AM87" s="26"/>
      <c r="AN87" s="26"/>
      <c r="AO87" s="26"/>
      <c r="AP87" s="26"/>
    </row>
    <row r="88" spans="5:42" ht="38.15" customHeight="1" x14ac:dyDescent="0.3">
      <c r="E88" s="25"/>
      <c r="P88" s="27"/>
      <c r="Q88" s="27"/>
      <c r="R88" s="27"/>
      <c r="S88" s="27"/>
      <c r="U88" s="27"/>
      <c r="V88" s="27"/>
      <c r="W88" s="27"/>
      <c r="AG88" s="26"/>
      <c r="AH88" s="26"/>
      <c r="AI88" s="26"/>
      <c r="AJ88" s="26"/>
      <c r="AK88" s="26"/>
      <c r="AL88" s="26"/>
      <c r="AM88" s="26"/>
      <c r="AN88" s="26"/>
      <c r="AO88" s="26"/>
      <c r="AP88" s="26"/>
    </row>
    <row r="89" spans="5:42" ht="38.15" customHeight="1" x14ac:dyDescent="0.3">
      <c r="E89" s="25"/>
      <c r="P89" s="27"/>
      <c r="Q89" s="27"/>
      <c r="R89" s="27"/>
      <c r="S89" s="27"/>
      <c r="U89" s="27"/>
      <c r="V89" s="27"/>
      <c r="W89" s="27"/>
      <c r="AG89" s="26"/>
      <c r="AH89" s="26"/>
      <c r="AI89" s="26"/>
      <c r="AJ89" s="26"/>
      <c r="AK89" s="26"/>
      <c r="AL89" s="26"/>
      <c r="AM89" s="26"/>
      <c r="AN89" s="26"/>
      <c r="AO89" s="26"/>
      <c r="AP89" s="26"/>
    </row>
    <row r="90" spans="5:42" ht="38.15" customHeight="1" x14ac:dyDescent="0.3">
      <c r="E90" s="25"/>
      <c r="P90" s="27"/>
      <c r="Q90" s="27"/>
      <c r="R90" s="27"/>
      <c r="S90" s="27"/>
      <c r="U90" s="27"/>
      <c r="V90" s="27"/>
      <c r="W90" s="27"/>
      <c r="AG90" s="26"/>
      <c r="AH90" s="26"/>
      <c r="AI90" s="26"/>
      <c r="AJ90" s="26"/>
      <c r="AK90" s="26"/>
      <c r="AL90" s="26"/>
      <c r="AM90" s="26"/>
      <c r="AN90" s="26"/>
      <c r="AO90" s="26"/>
      <c r="AP90" s="26"/>
    </row>
    <row r="91" spans="5:42" ht="38.15" customHeight="1" x14ac:dyDescent="0.3">
      <c r="E91" s="25"/>
      <c r="P91" s="27"/>
      <c r="Q91" s="27"/>
      <c r="R91" s="27"/>
      <c r="S91" s="27"/>
      <c r="U91" s="27"/>
      <c r="V91" s="27"/>
      <c r="W91" s="27"/>
      <c r="AL91" s="26"/>
    </row>
    <row r="92" spans="5:42" ht="38.15" customHeight="1" x14ac:dyDescent="0.3">
      <c r="E92" s="25"/>
      <c r="P92" s="27"/>
      <c r="Q92" s="27"/>
      <c r="R92" s="27"/>
      <c r="S92" s="27"/>
      <c r="U92" s="27"/>
      <c r="V92" s="27"/>
      <c r="W92" s="27"/>
    </row>
    <row r="93" spans="5:42" ht="38.15" customHeight="1" x14ac:dyDescent="0.3">
      <c r="E93" s="25"/>
      <c r="P93" s="27"/>
      <c r="Q93" s="27"/>
      <c r="R93" s="27"/>
      <c r="S93" s="27"/>
      <c r="U93" s="27"/>
      <c r="V93" s="27"/>
      <c r="W93" s="27"/>
    </row>
    <row r="94" spans="5:42" ht="38.15" customHeight="1" x14ac:dyDescent="0.3">
      <c r="E94" s="25"/>
      <c r="P94" s="27"/>
      <c r="Q94" s="27"/>
      <c r="R94" s="27"/>
      <c r="S94" s="27"/>
      <c r="U94" s="27"/>
      <c r="V94" s="27"/>
      <c r="W94" s="27"/>
    </row>
    <row r="95" spans="5:42" ht="38.15" customHeight="1" x14ac:dyDescent="0.3">
      <c r="E95" s="25"/>
      <c r="P95" s="27"/>
      <c r="Q95" s="27"/>
      <c r="R95" s="27"/>
      <c r="S95" s="27"/>
      <c r="U95" s="27"/>
      <c r="V95" s="27"/>
      <c r="W95" s="27"/>
    </row>
    <row r="96" spans="5:42" ht="38.15" customHeight="1" x14ac:dyDescent="0.3">
      <c r="E96" s="25"/>
      <c r="P96" s="27"/>
      <c r="Q96" s="27"/>
      <c r="R96" s="27"/>
      <c r="S96" s="27"/>
      <c r="U96" s="27"/>
      <c r="V96" s="27"/>
      <c r="W96" s="27"/>
    </row>
    <row r="97" spans="5:23" ht="38.15" customHeight="1" x14ac:dyDescent="0.3">
      <c r="E97" s="25"/>
      <c r="P97" s="27"/>
      <c r="Q97" s="27"/>
      <c r="R97" s="27"/>
      <c r="S97" s="27"/>
      <c r="U97" s="27"/>
      <c r="V97" s="27"/>
      <c r="W97" s="27"/>
    </row>
    <row r="98" spans="5:23" ht="38.15" customHeight="1" x14ac:dyDescent="0.3">
      <c r="E98" s="25"/>
      <c r="P98" s="27"/>
      <c r="Q98" s="27"/>
      <c r="R98" s="27"/>
      <c r="S98" s="27"/>
      <c r="U98" s="27"/>
      <c r="V98" s="27"/>
      <c r="W98" s="27"/>
    </row>
    <row r="99" spans="5:23" ht="38.15" customHeight="1" x14ac:dyDescent="0.3">
      <c r="E99" s="25"/>
      <c r="F99" s="25"/>
      <c r="H99" s="25"/>
      <c r="I99" s="25"/>
      <c r="J99" s="25"/>
      <c r="K99" s="25"/>
      <c r="L99" s="25"/>
      <c r="M99" s="25"/>
      <c r="N99" s="25"/>
      <c r="P99" s="27"/>
      <c r="Q99" s="27"/>
      <c r="R99" s="27"/>
      <c r="S99" s="27"/>
      <c r="U99" s="27"/>
      <c r="V99" s="27"/>
      <c r="W99" s="27"/>
    </row>
    <row r="100" spans="5:23" ht="38.15" customHeight="1" x14ac:dyDescent="0.3">
      <c r="E100" s="25"/>
      <c r="F100" s="25"/>
      <c r="H100" s="25"/>
      <c r="I100" s="25"/>
      <c r="J100" s="25"/>
      <c r="K100" s="25"/>
      <c r="L100" s="25"/>
      <c r="M100" s="25"/>
      <c r="N100" s="25"/>
      <c r="P100" s="27"/>
      <c r="Q100" s="27"/>
      <c r="R100" s="27"/>
      <c r="S100" s="27"/>
      <c r="U100" s="27"/>
      <c r="V100" s="27"/>
      <c r="W100" s="27"/>
    </row>
    <row r="101" spans="5:23" ht="38.15" customHeight="1" x14ac:dyDescent="0.3">
      <c r="E101" s="25"/>
      <c r="F101" s="25"/>
      <c r="H101" s="25"/>
      <c r="I101" s="25"/>
      <c r="J101" s="25"/>
      <c r="K101" s="25"/>
      <c r="L101" s="25"/>
      <c r="M101" s="25"/>
      <c r="N101" s="25"/>
      <c r="P101" s="27"/>
      <c r="Q101" s="27"/>
      <c r="R101" s="27"/>
      <c r="S101" s="27"/>
      <c r="U101" s="27"/>
      <c r="V101" s="27"/>
      <c r="W101" s="27"/>
    </row>
    <row r="102" spans="5:23" ht="38.15" customHeight="1" x14ac:dyDescent="0.3">
      <c r="E102" s="25"/>
      <c r="F102" s="25"/>
      <c r="H102" s="25"/>
      <c r="I102" s="25"/>
      <c r="J102" s="25"/>
      <c r="K102" s="25"/>
      <c r="L102" s="25"/>
      <c r="M102" s="25"/>
      <c r="N102" s="25"/>
      <c r="P102" s="27"/>
      <c r="Q102" s="27"/>
      <c r="R102" s="27"/>
      <c r="S102" s="27"/>
      <c r="U102" s="27"/>
      <c r="V102" s="27"/>
      <c r="W102" s="27"/>
    </row>
    <row r="103" spans="5:23" ht="38.15" customHeight="1" x14ac:dyDescent="0.3">
      <c r="E103" s="25"/>
      <c r="F103" s="25"/>
      <c r="H103" s="25"/>
      <c r="I103" s="25"/>
      <c r="J103" s="25"/>
      <c r="K103" s="25"/>
      <c r="L103" s="25"/>
      <c r="M103" s="25"/>
      <c r="N103" s="25"/>
      <c r="P103" s="27"/>
      <c r="Q103" s="27"/>
      <c r="R103" s="27"/>
      <c r="S103" s="27"/>
      <c r="U103" s="27"/>
      <c r="V103" s="27"/>
      <c r="W103" s="27"/>
    </row>
    <row r="104" spans="5:23" ht="38.15" customHeight="1" x14ac:dyDescent="0.3">
      <c r="E104" s="25"/>
      <c r="F104" s="25"/>
      <c r="H104" s="25"/>
      <c r="I104" s="25"/>
      <c r="J104" s="25"/>
      <c r="K104" s="25"/>
      <c r="L104" s="25"/>
      <c r="M104" s="25"/>
      <c r="N104" s="25"/>
      <c r="P104" s="27"/>
      <c r="Q104" s="27"/>
      <c r="R104" s="27"/>
      <c r="S104" s="27"/>
      <c r="U104" s="27"/>
      <c r="V104" s="27"/>
      <c r="W104" s="27"/>
    </row>
    <row r="105" spans="5:23" ht="38.15" customHeight="1" x14ac:dyDescent="0.3">
      <c r="E105" s="25"/>
      <c r="F105" s="25"/>
      <c r="H105" s="25"/>
      <c r="I105" s="25"/>
      <c r="J105" s="25"/>
      <c r="K105" s="25"/>
      <c r="L105" s="25"/>
      <c r="M105" s="25"/>
      <c r="N105" s="25"/>
      <c r="P105" s="27"/>
      <c r="Q105" s="27"/>
      <c r="R105" s="27"/>
      <c r="S105" s="27"/>
      <c r="U105" s="27"/>
      <c r="V105" s="27"/>
      <c r="W105" s="27"/>
    </row>
    <row r="106" spans="5:23" ht="38.15" customHeight="1" x14ac:dyDescent="0.3">
      <c r="E106" s="25"/>
      <c r="F106" s="25"/>
      <c r="H106" s="25"/>
      <c r="I106" s="25"/>
      <c r="J106" s="25"/>
      <c r="K106" s="25"/>
      <c r="L106" s="25"/>
      <c r="M106" s="25"/>
      <c r="N106" s="25"/>
      <c r="P106" s="27"/>
      <c r="Q106" s="27"/>
      <c r="R106" s="27"/>
      <c r="S106" s="27"/>
      <c r="U106" s="27"/>
      <c r="V106" s="27"/>
      <c r="W106" s="27"/>
    </row>
    <row r="107" spans="5:23" ht="38.15" customHeight="1" x14ac:dyDescent="0.3">
      <c r="E107" s="25"/>
      <c r="F107" s="25"/>
      <c r="H107" s="25"/>
      <c r="I107" s="25"/>
      <c r="J107" s="25"/>
      <c r="K107" s="25"/>
      <c r="L107" s="25"/>
      <c r="M107" s="25"/>
      <c r="N107" s="25"/>
      <c r="P107" s="27"/>
      <c r="Q107" s="27"/>
      <c r="R107" s="27"/>
      <c r="S107" s="27"/>
      <c r="U107" s="27"/>
      <c r="V107" s="27"/>
      <c r="W107" s="27"/>
    </row>
    <row r="108" spans="5:23" ht="38.15" customHeight="1" x14ac:dyDescent="0.3">
      <c r="E108" s="25"/>
      <c r="F108" s="25"/>
      <c r="H108" s="25"/>
      <c r="I108" s="25"/>
      <c r="J108" s="25"/>
      <c r="K108" s="25"/>
      <c r="L108" s="25"/>
      <c r="M108" s="25"/>
      <c r="N108" s="25"/>
      <c r="P108" s="27"/>
      <c r="Q108" s="27"/>
      <c r="R108" s="27"/>
      <c r="S108" s="27"/>
      <c r="U108" s="27"/>
      <c r="V108" s="27"/>
      <c r="W108" s="27"/>
    </row>
    <row r="109" spans="5:23" ht="38.15" customHeight="1" x14ac:dyDescent="0.3">
      <c r="E109" s="25"/>
      <c r="F109" s="25"/>
      <c r="H109" s="25"/>
      <c r="I109" s="25"/>
      <c r="J109" s="25"/>
      <c r="K109" s="25"/>
      <c r="L109" s="25"/>
      <c r="M109" s="25"/>
      <c r="N109" s="25"/>
      <c r="P109" s="27"/>
      <c r="Q109" s="27"/>
      <c r="R109" s="27"/>
      <c r="S109" s="27"/>
      <c r="U109" s="27"/>
      <c r="V109" s="27"/>
      <c r="W109" s="27"/>
    </row>
    <row r="110" spans="5:23" ht="38.15" customHeight="1" x14ac:dyDescent="0.3">
      <c r="E110" s="25"/>
      <c r="F110" s="25"/>
      <c r="H110" s="25"/>
      <c r="I110" s="25"/>
      <c r="J110" s="25"/>
      <c r="K110" s="25"/>
      <c r="L110" s="25"/>
      <c r="M110" s="25"/>
      <c r="N110" s="25"/>
      <c r="P110" s="27"/>
      <c r="Q110" s="27"/>
      <c r="R110" s="27"/>
      <c r="S110" s="27"/>
      <c r="U110" s="27"/>
      <c r="V110" s="27"/>
      <c r="W110" s="27"/>
    </row>
    <row r="111" spans="5:23" ht="38.15" customHeight="1" x14ac:dyDescent="0.3">
      <c r="E111" s="25"/>
      <c r="F111" s="25"/>
      <c r="H111" s="25"/>
      <c r="I111" s="25"/>
      <c r="J111" s="25"/>
      <c r="K111" s="25"/>
      <c r="L111" s="25"/>
      <c r="M111" s="25"/>
      <c r="N111" s="25"/>
      <c r="P111" s="27"/>
      <c r="Q111" s="27"/>
      <c r="R111" s="27"/>
      <c r="S111" s="27"/>
      <c r="U111" s="27"/>
      <c r="V111" s="27"/>
      <c r="W111" s="27"/>
    </row>
    <row r="112" spans="5:23" ht="38.15" customHeight="1" x14ac:dyDescent="0.3">
      <c r="E112" s="25"/>
      <c r="F112" s="25"/>
      <c r="H112" s="25"/>
      <c r="I112" s="25"/>
      <c r="J112" s="25"/>
      <c r="K112" s="25"/>
      <c r="L112" s="25"/>
      <c r="M112" s="25"/>
      <c r="N112" s="25"/>
      <c r="P112" s="27"/>
      <c r="Q112" s="27"/>
      <c r="R112" s="27"/>
      <c r="S112" s="27"/>
      <c r="U112" s="27"/>
      <c r="V112" s="27"/>
      <c r="W112" s="27"/>
    </row>
    <row r="113" spans="5:23" ht="38.15" customHeight="1" x14ac:dyDescent="0.3">
      <c r="E113" s="25"/>
      <c r="F113" s="25"/>
      <c r="H113" s="25"/>
      <c r="I113" s="25"/>
      <c r="J113" s="25"/>
      <c r="K113" s="25"/>
      <c r="L113" s="25"/>
      <c r="M113" s="25"/>
      <c r="N113" s="25"/>
      <c r="P113" s="27"/>
      <c r="Q113" s="27"/>
      <c r="R113" s="27"/>
      <c r="S113" s="27"/>
      <c r="U113" s="27"/>
      <c r="V113" s="27"/>
      <c r="W113" s="27"/>
    </row>
    <row r="114" spans="5:23" ht="38.15" customHeight="1" x14ac:dyDescent="0.3">
      <c r="E114" s="25"/>
      <c r="F114" s="25"/>
      <c r="H114" s="25"/>
      <c r="I114" s="25"/>
      <c r="J114" s="25"/>
      <c r="K114" s="25"/>
      <c r="L114" s="25"/>
      <c r="M114" s="25"/>
      <c r="N114" s="25"/>
      <c r="P114" s="27"/>
      <c r="Q114" s="27"/>
      <c r="R114" s="27"/>
      <c r="S114" s="27"/>
      <c r="U114" s="27"/>
      <c r="V114" s="27"/>
      <c r="W114" s="27"/>
    </row>
    <row r="115" spans="5:23" ht="38.15" customHeight="1" x14ac:dyDescent="0.3">
      <c r="E115" s="25"/>
      <c r="F115" s="25"/>
      <c r="H115" s="25"/>
      <c r="I115" s="25"/>
      <c r="J115" s="25"/>
      <c r="K115" s="25"/>
      <c r="L115" s="25"/>
      <c r="M115" s="25"/>
      <c r="N115" s="25"/>
      <c r="P115" s="27"/>
      <c r="Q115" s="27"/>
      <c r="R115" s="27"/>
      <c r="S115" s="27"/>
      <c r="U115" s="27"/>
      <c r="V115" s="27"/>
      <c r="W115" s="27"/>
    </row>
    <row r="116" spans="5:23" ht="38.15" customHeight="1" x14ac:dyDescent="0.3">
      <c r="E116" s="25"/>
      <c r="F116" s="25"/>
      <c r="H116" s="25"/>
      <c r="I116" s="25"/>
      <c r="J116" s="25"/>
      <c r="K116" s="25"/>
      <c r="L116" s="25"/>
      <c r="M116" s="25"/>
      <c r="N116" s="25"/>
      <c r="P116" s="27"/>
      <c r="Q116" s="27"/>
      <c r="R116" s="27"/>
      <c r="S116" s="27"/>
      <c r="U116" s="27"/>
      <c r="V116" s="27"/>
      <c r="W116" s="27"/>
    </row>
    <row r="117" spans="5:23" ht="38.15" customHeight="1" x14ac:dyDescent="0.3">
      <c r="E117" s="25"/>
      <c r="F117" s="25"/>
      <c r="H117" s="25"/>
      <c r="I117" s="25"/>
      <c r="J117" s="25"/>
      <c r="K117" s="25"/>
      <c r="L117" s="25"/>
      <c r="M117" s="25"/>
      <c r="N117" s="25"/>
      <c r="P117" s="27"/>
      <c r="Q117" s="27"/>
      <c r="R117" s="27"/>
      <c r="S117" s="27"/>
      <c r="U117" s="27"/>
      <c r="V117" s="27"/>
      <c r="W117" s="27"/>
    </row>
    <row r="118" spans="5:23" ht="38.15" customHeight="1" x14ac:dyDescent="0.3">
      <c r="E118" s="25"/>
      <c r="F118" s="25"/>
      <c r="H118" s="25"/>
      <c r="I118" s="25"/>
      <c r="J118" s="25"/>
      <c r="K118" s="25"/>
      <c r="L118" s="25"/>
      <c r="M118" s="25"/>
      <c r="N118" s="25"/>
      <c r="P118" s="27"/>
      <c r="Q118" s="27"/>
      <c r="R118" s="27"/>
      <c r="S118" s="27"/>
      <c r="U118" s="27"/>
      <c r="V118" s="27"/>
      <c r="W118" s="27"/>
    </row>
    <row r="119" spans="5:23" ht="38.15" customHeight="1" x14ac:dyDescent="0.3">
      <c r="E119" s="25"/>
      <c r="F119" s="25"/>
      <c r="H119" s="25"/>
      <c r="I119" s="25"/>
      <c r="J119" s="25"/>
      <c r="K119" s="25"/>
      <c r="L119" s="25"/>
      <c r="M119" s="25"/>
      <c r="N119" s="25"/>
      <c r="P119" s="27"/>
      <c r="Q119" s="27"/>
      <c r="R119" s="27"/>
      <c r="S119" s="27"/>
      <c r="U119" s="27"/>
      <c r="V119" s="27"/>
      <c r="W119" s="27"/>
    </row>
    <row r="120" spans="5:23" ht="38.15" customHeight="1" x14ac:dyDescent="0.3">
      <c r="E120" s="25"/>
      <c r="F120" s="25"/>
      <c r="H120" s="25"/>
      <c r="I120" s="25"/>
      <c r="J120" s="25"/>
      <c r="K120" s="25"/>
      <c r="L120" s="25"/>
      <c r="M120" s="25"/>
      <c r="N120" s="25"/>
      <c r="P120" s="27"/>
      <c r="Q120" s="27"/>
      <c r="R120" s="27"/>
      <c r="S120" s="27"/>
      <c r="U120" s="27"/>
      <c r="V120" s="27"/>
      <c r="W120" s="27"/>
    </row>
    <row r="121" spans="5:23" ht="38.15" customHeight="1" x14ac:dyDescent="0.3">
      <c r="E121" s="25"/>
      <c r="F121" s="25"/>
      <c r="H121" s="25"/>
      <c r="I121" s="25"/>
      <c r="J121" s="25"/>
      <c r="K121" s="25"/>
      <c r="L121" s="25"/>
      <c r="M121" s="25"/>
      <c r="N121" s="25"/>
      <c r="P121" s="27"/>
      <c r="Q121" s="27"/>
      <c r="R121" s="27"/>
      <c r="S121" s="27"/>
      <c r="U121" s="27"/>
      <c r="V121" s="27"/>
      <c r="W121" s="27"/>
    </row>
    <row r="122" spans="5:23" ht="38.15" customHeight="1" x14ac:dyDescent="0.3">
      <c r="E122" s="25"/>
      <c r="F122" s="25"/>
      <c r="H122" s="25"/>
      <c r="I122" s="25"/>
      <c r="J122" s="25"/>
      <c r="K122" s="25"/>
      <c r="L122" s="25"/>
      <c r="M122" s="25"/>
      <c r="N122" s="25"/>
      <c r="P122" s="27"/>
      <c r="Q122" s="27"/>
      <c r="R122" s="27"/>
      <c r="S122" s="27"/>
      <c r="U122" s="27"/>
      <c r="V122" s="27"/>
      <c r="W122" s="27"/>
    </row>
    <row r="123" spans="5:23" ht="38.15" customHeight="1" x14ac:dyDescent="0.3">
      <c r="E123" s="25"/>
      <c r="F123" s="25"/>
      <c r="H123" s="25"/>
      <c r="I123" s="25"/>
      <c r="J123" s="25"/>
      <c r="K123" s="25"/>
      <c r="L123" s="25"/>
      <c r="M123" s="25"/>
      <c r="N123" s="25"/>
      <c r="P123" s="27"/>
      <c r="Q123" s="27"/>
      <c r="R123" s="27"/>
      <c r="S123" s="27"/>
      <c r="U123" s="27"/>
      <c r="V123" s="27"/>
      <c r="W123" s="27"/>
    </row>
    <row r="124" spans="5:23" ht="38.15" customHeight="1" x14ac:dyDescent="0.3">
      <c r="E124" s="25"/>
      <c r="F124" s="25"/>
      <c r="H124" s="25"/>
      <c r="I124" s="25"/>
      <c r="J124" s="25"/>
      <c r="K124" s="25"/>
      <c r="L124" s="25"/>
      <c r="M124" s="25"/>
      <c r="N124" s="25"/>
      <c r="P124" s="27"/>
      <c r="Q124" s="27"/>
      <c r="R124" s="27"/>
      <c r="S124" s="27"/>
      <c r="U124" s="27"/>
      <c r="V124" s="27"/>
      <c r="W124" s="27"/>
    </row>
    <row r="125" spans="5:23" ht="38.15" customHeight="1" x14ac:dyDescent="0.3">
      <c r="E125" s="25"/>
      <c r="F125" s="25"/>
      <c r="H125" s="25"/>
      <c r="I125" s="25"/>
      <c r="J125" s="25"/>
      <c r="K125" s="25"/>
      <c r="L125" s="25"/>
      <c r="M125" s="25"/>
      <c r="N125" s="25"/>
      <c r="P125" s="27"/>
      <c r="Q125" s="27"/>
      <c r="R125" s="27"/>
      <c r="S125" s="27"/>
      <c r="U125" s="27"/>
      <c r="V125" s="27"/>
      <c r="W125" s="27"/>
    </row>
    <row r="126" spans="5:23" ht="38.15" customHeight="1" x14ac:dyDescent="0.3">
      <c r="E126" s="25"/>
      <c r="F126" s="25"/>
      <c r="H126" s="25"/>
      <c r="I126" s="25"/>
      <c r="J126" s="25"/>
      <c r="K126" s="25"/>
      <c r="L126" s="25"/>
      <c r="M126" s="25"/>
      <c r="N126" s="25"/>
      <c r="P126" s="27"/>
      <c r="Q126" s="27"/>
      <c r="R126" s="27"/>
      <c r="S126" s="27"/>
      <c r="U126" s="27"/>
      <c r="V126" s="27"/>
      <c r="W126" s="27"/>
    </row>
    <row r="127" spans="5:23" ht="38.15" customHeight="1" x14ac:dyDescent="0.3">
      <c r="E127" s="25"/>
      <c r="F127" s="25"/>
      <c r="H127" s="25"/>
      <c r="I127" s="25"/>
      <c r="J127" s="25"/>
      <c r="K127" s="25"/>
      <c r="L127" s="25"/>
      <c r="M127" s="25"/>
      <c r="N127" s="25"/>
      <c r="P127" s="27"/>
      <c r="Q127" s="27"/>
      <c r="R127" s="27"/>
      <c r="S127" s="27"/>
      <c r="U127" s="27"/>
      <c r="V127" s="27"/>
      <c r="W127" s="27"/>
    </row>
    <row r="128" spans="5:23" ht="38.15" customHeight="1" x14ac:dyDescent="0.3">
      <c r="E128" s="25"/>
      <c r="F128" s="25"/>
      <c r="H128" s="25"/>
      <c r="I128" s="25"/>
      <c r="J128" s="25"/>
      <c r="K128" s="25"/>
      <c r="L128" s="25"/>
      <c r="M128" s="25"/>
      <c r="N128" s="25"/>
      <c r="P128" s="27"/>
      <c r="Q128" s="27"/>
      <c r="R128" s="27"/>
      <c r="S128" s="27"/>
      <c r="U128" s="27"/>
      <c r="V128" s="27"/>
      <c r="W128" s="27"/>
    </row>
    <row r="129" spans="5:23" ht="38.15" customHeight="1" x14ac:dyDescent="0.3">
      <c r="E129" s="25"/>
      <c r="F129" s="25"/>
      <c r="H129" s="25"/>
      <c r="I129" s="25"/>
      <c r="J129" s="25"/>
      <c r="K129" s="25"/>
      <c r="L129" s="25"/>
      <c r="M129" s="25"/>
      <c r="N129" s="25"/>
      <c r="P129" s="27"/>
      <c r="Q129" s="27"/>
      <c r="R129" s="27"/>
      <c r="S129" s="27"/>
      <c r="U129" s="27"/>
      <c r="V129" s="27"/>
      <c r="W129" s="27"/>
    </row>
    <row r="130" spans="5:23" ht="38.15" customHeight="1" x14ac:dyDescent="0.3">
      <c r="E130" s="25"/>
      <c r="F130" s="25"/>
      <c r="H130" s="25"/>
      <c r="I130" s="25"/>
      <c r="J130" s="25"/>
      <c r="K130" s="25"/>
      <c r="L130" s="25"/>
      <c r="M130" s="25"/>
      <c r="N130" s="25"/>
      <c r="P130" s="27"/>
      <c r="Q130" s="27"/>
      <c r="R130" s="27"/>
      <c r="S130" s="27"/>
      <c r="U130" s="27"/>
      <c r="V130" s="27"/>
      <c r="W130" s="27"/>
    </row>
    <row r="131" spans="5:23" ht="38.15" customHeight="1" x14ac:dyDescent="0.3">
      <c r="E131" s="25"/>
      <c r="F131" s="25"/>
      <c r="H131" s="25"/>
      <c r="I131" s="25"/>
      <c r="J131" s="25"/>
      <c r="K131" s="25"/>
      <c r="L131" s="25"/>
      <c r="M131" s="25"/>
      <c r="N131" s="25"/>
      <c r="P131" s="27"/>
      <c r="Q131" s="27"/>
      <c r="R131" s="27"/>
      <c r="S131" s="27"/>
      <c r="U131" s="27"/>
      <c r="V131" s="27"/>
      <c r="W131" s="27"/>
    </row>
    <row r="132" spans="5:23" ht="38.15" customHeight="1" x14ac:dyDescent="0.3">
      <c r="E132" s="25"/>
      <c r="F132" s="25"/>
      <c r="H132" s="25"/>
      <c r="I132" s="25"/>
      <c r="J132" s="25"/>
      <c r="K132" s="25"/>
      <c r="L132" s="25"/>
      <c r="M132" s="25"/>
      <c r="N132" s="25"/>
      <c r="P132" s="27"/>
      <c r="Q132" s="27"/>
      <c r="R132" s="27"/>
      <c r="S132" s="27"/>
      <c r="U132" s="27"/>
      <c r="V132" s="27"/>
      <c r="W132" s="27"/>
    </row>
    <row r="133" spans="5:23" ht="38.15" customHeight="1" x14ac:dyDescent="0.3">
      <c r="E133" s="25"/>
      <c r="F133" s="25"/>
      <c r="H133" s="25"/>
      <c r="I133" s="25"/>
      <c r="J133" s="25"/>
      <c r="K133" s="25"/>
      <c r="L133" s="25"/>
      <c r="M133" s="25"/>
      <c r="N133" s="25"/>
      <c r="P133" s="27"/>
      <c r="Q133" s="27"/>
      <c r="R133" s="27"/>
      <c r="S133" s="27"/>
      <c r="U133" s="27"/>
      <c r="V133" s="27"/>
      <c r="W133" s="27"/>
    </row>
    <row r="134" spans="5:23" ht="38.15" customHeight="1" x14ac:dyDescent="0.3">
      <c r="E134" s="25"/>
      <c r="F134" s="25"/>
      <c r="H134" s="25"/>
      <c r="I134" s="25"/>
      <c r="J134" s="25"/>
      <c r="K134" s="25"/>
      <c r="L134" s="25"/>
      <c r="M134" s="25"/>
      <c r="N134" s="25"/>
      <c r="P134" s="27"/>
      <c r="Q134" s="27"/>
      <c r="R134" s="27"/>
      <c r="S134" s="27"/>
      <c r="U134" s="27"/>
      <c r="V134" s="27"/>
      <c r="W134" s="27"/>
    </row>
    <row r="135" spans="5:23" ht="38.15" customHeight="1" x14ac:dyDescent="0.3">
      <c r="E135" s="25"/>
      <c r="F135" s="25"/>
      <c r="H135" s="25"/>
      <c r="I135" s="25"/>
      <c r="J135" s="25"/>
      <c r="K135" s="25"/>
      <c r="L135" s="25"/>
      <c r="M135" s="25"/>
      <c r="N135" s="25"/>
      <c r="P135" s="27"/>
      <c r="Q135" s="27"/>
      <c r="R135" s="27"/>
      <c r="S135" s="27"/>
      <c r="U135" s="27"/>
      <c r="V135" s="27"/>
      <c r="W135" s="27"/>
    </row>
    <row r="136" spans="5:23" ht="38.15" customHeight="1" x14ac:dyDescent="0.3">
      <c r="E136" s="25"/>
      <c r="F136" s="25"/>
      <c r="H136" s="25"/>
      <c r="I136" s="25"/>
      <c r="J136" s="25"/>
      <c r="K136" s="25"/>
      <c r="L136" s="25"/>
      <c r="M136" s="25"/>
      <c r="N136" s="25"/>
      <c r="P136" s="27"/>
      <c r="Q136" s="27"/>
      <c r="R136" s="27"/>
      <c r="S136" s="27"/>
      <c r="U136" s="27"/>
      <c r="V136" s="27"/>
      <c r="W136" s="27"/>
    </row>
    <row r="137" spans="5:23" ht="38.15" customHeight="1" x14ac:dyDescent="0.3">
      <c r="E137" s="25"/>
      <c r="F137" s="25"/>
      <c r="H137" s="25"/>
      <c r="I137" s="25"/>
      <c r="J137" s="25"/>
      <c r="K137" s="25"/>
      <c r="L137" s="25"/>
      <c r="M137" s="25"/>
      <c r="N137" s="25"/>
      <c r="P137" s="27"/>
      <c r="Q137" s="27"/>
      <c r="R137" s="27"/>
      <c r="S137" s="27"/>
      <c r="U137" s="27"/>
      <c r="V137" s="27"/>
      <c r="W137" s="27"/>
    </row>
    <row r="138" spans="5:23" ht="38.15" customHeight="1" x14ac:dyDescent="0.3">
      <c r="E138" s="25"/>
      <c r="F138" s="25"/>
      <c r="H138" s="25"/>
      <c r="I138" s="25"/>
      <c r="J138" s="25"/>
      <c r="K138" s="25"/>
      <c r="L138" s="25"/>
      <c r="M138" s="25"/>
      <c r="N138" s="25"/>
      <c r="P138" s="27"/>
      <c r="Q138" s="27"/>
      <c r="R138" s="27"/>
      <c r="S138" s="27"/>
      <c r="U138" s="27"/>
      <c r="V138" s="27"/>
      <c r="W138" s="27"/>
    </row>
    <row r="139" spans="5:23" x14ac:dyDescent="0.3">
      <c r="E139" s="25"/>
      <c r="F139" s="25"/>
      <c r="H139" s="25"/>
      <c r="I139" s="25"/>
      <c r="J139" s="25"/>
      <c r="K139" s="25"/>
      <c r="L139" s="25"/>
      <c r="M139" s="25"/>
      <c r="N139" s="25"/>
      <c r="P139" s="27"/>
      <c r="Q139" s="27"/>
      <c r="R139" s="27"/>
      <c r="S139" s="27"/>
      <c r="U139" s="27"/>
      <c r="V139" s="27"/>
      <c r="W139" s="27"/>
    </row>
    <row r="140" spans="5:23" x14ac:dyDescent="0.3">
      <c r="E140" s="25"/>
      <c r="F140" s="25"/>
      <c r="H140" s="25"/>
      <c r="I140" s="25"/>
      <c r="J140" s="25"/>
      <c r="K140" s="25"/>
      <c r="L140" s="25"/>
      <c r="M140" s="25"/>
      <c r="N140" s="25"/>
      <c r="P140" s="27"/>
      <c r="Q140" s="27"/>
      <c r="R140" s="27"/>
      <c r="S140" s="27"/>
      <c r="U140" s="27"/>
      <c r="V140" s="27"/>
      <c r="W140" s="27"/>
    </row>
    <row r="141" spans="5:23" x14ac:dyDescent="0.3">
      <c r="E141" s="25"/>
      <c r="F141" s="25"/>
      <c r="H141" s="25"/>
      <c r="I141" s="25"/>
      <c r="J141" s="25"/>
      <c r="K141" s="25"/>
      <c r="L141" s="25"/>
      <c r="M141" s="25"/>
      <c r="N141" s="25"/>
      <c r="P141" s="27"/>
      <c r="Q141" s="27"/>
      <c r="R141" s="27"/>
      <c r="S141" s="27"/>
      <c r="U141" s="27"/>
      <c r="V141" s="27"/>
      <c r="W141" s="27"/>
    </row>
    <row r="142" spans="5:23" x14ac:dyDescent="0.3">
      <c r="E142" s="25"/>
      <c r="F142" s="25"/>
      <c r="H142" s="25"/>
      <c r="I142" s="25"/>
      <c r="J142" s="25"/>
      <c r="K142" s="25"/>
      <c r="L142" s="25"/>
      <c r="M142" s="25"/>
      <c r="N142" s="25"/>
      <c r="P142" s="27"/>
      <c r="Q142" s="27"/>
      <c r="R142" s="27"/>
      <c r="S142" s="27"/>
      <c r="U142" s="27"/>
      <c r="V142" s="27"/>
      <c r="W142" s="27"/>
    </row>
    <row r="143" spans="5:23" x14ac:dyDescent="0.3">
      <c r="E143" s="25"/>
      <c r="F143" s="25"/>
      <c r="H143" s="25"/>
      <c r="I143" s="25"/>
      <c r="J143" s="25"/>
      <c r="K143" s="25"/>
      <c r="L143" s="25"/>
      <c r="M143" s="25"/>
      <c r="N143" s="25"/>
      <c r="P143" s="27"/>
      <c r="Q143" s="27"/>
      <c r="R143" s="27"/>
      <c r="S143" s="27"/>
      <c r="U143" s="27"/>
      <c r="V143" s="27"/>
      <c r="W143" s="27"/>
    </row>
    <row r="144" spans="5:23" x14ac:dyDescent="0.3">
      <c r="E144" s="25"/>
      <c r="F144" s="25"/>
      <c r="H144" s="25"/>
      <c r="I144" s="25"/>
      <c r="J144" s="25"/>
      <c r="K144" s="25"/>
      <c r="L144" s="25"/>
      <c r="M144" s="25"/>
      <c r="N144" s="25"/>
      <c r="P144" s="27"/>
      <c r="Q144" s="27"/>
      <c r="R144" s="27"/>
      <c r="S144" s="27"/>
      <c r="U144" s="27"/>
      <c r="V144" s="27"/>
      <c r="W144" s="27"/>
    </row>
    <row r="145" spans="5:23" x14ac:dyDescent="0.3">
      <c r="E145" s="25"/>
      <c r="F145" s="25"/>
      <c r="H145" s="25"/>
      <c r="I145" s="25"/>
      <c r="J145" s="25"/>
      <c r="K145" s="25"/>
      <c r="L145" s="25"/>
      <c r="M145" s="25"/>
      <c r="N145" s="25"/>
      <c r="P145" s="27"/>
      <c r="Q145" s="27"/>
      <c r="R145" s="27"/>
      <c r="S145" s="27"/>
      <c r="U145" s="27"/>
      <c r="V145" s="27"/>
      <c r="W145" s="27"/>
    </row>
    <row r="146" spans="5:23" x14ac:dyDescent="0.3">
      <c r="E146" s="25"/>
      <c r="F146" s="25"/>
      <c r="H146" s="25"/>
      <c r="I146" s="25"/>
      <c r="J146" s="25"/>
      <c r="K146" s="25"/>
      <c r="L146" s="25"/>
      <c r="M146" s="25"/>
      <c r="N146" s="25"/>
      <c r="P146" s="27"/>
      <c r="Q146" s="27"/>
      <c r="R146" s="27"/>
      <c r="S146" s="27"/>
      <c r="U146" s="27"/>
      <c r="V146" s="27"/>
      <c r="W146" s="27"/>
    </row>
    <row r="147" spans="5:23" x14ac:dyDescent="0.3">
      <c r="E147" s="25"/>
      <c r="F147" s="25"/>
      <c r="H147" s="25"/>
      <c r="I147" s="25"/>
      <c r="J147" s="25"/>
      <c r="K147" s="25"/>
      <c r="L147" s="25"/>
      <c r="M147" s="25"/>
      <c r="N147" s="25"/>
      <c r="P147" s="27"/>
      <c r="Q147" s="27"/>
      <c r="R147" s="27"/>
      <c r="S147" s="27"/>
      <c r="U147" s="27"/>
      <c r="V147" s="27"/>
      <c r="W147" s="27"/>
    </row>
    <row r="148" spans="5:23" x14ac:dyDescent="0.3">
      <c r="E148" s="25"/>
      <c r="F148" s="25"/>
      <c r="H148" s="25"/>
      <c r="I148" s="25"/>
      <c r="J148" s="25"/>
      <c r="K148" s="25"/>
      <c r="L148" s="25"/>
      <c r="M148" s="25"/>
      <c r="N148" s="25"/>
      <c r="P148" s="27"/>
      <c r="Q148" s="27"/>
      <c r="R148" s="27"/>
      <c r="S148" s="27"/>
      <c r="U148" s="27"/>
      <c r="V148" s="27"/>
      <c r="W148" s="27"/>
    </row>
    <row r="149" spans="5:23" x14ac:dyDescent="0.3">
      <c r="E149" s="25"/>
      <c r="F149" s="25"/>
      <c r="H149" s="25"/>
      <c r="I149" s="25"/>
      <c r="J149" s="25"/>
      <c r="K149" s="25"/>
      <c r="L149" s="25"/>
      <c r="M149" s="25"/>
      <c r="N149" s="25"/>
      <c r="P149" s="27"/>
      <c r="Q149" s="27"/>
      <c r="R149" s="27"/>
      <c r="S149" s="27"/>
      <c r="U149" s="27"/>
      <c r="V149" s="27"/>
      <c r="W149" s="27"/>
    </row>
    <row r="150" spans="5:23" x14ac:dyDescent="0.3">
      <c r="E150" s="25"/>
      <c r="F150" s="25"/>
      <c r="H150" s="25"/>
      <c r="I150" s="25"/>
      <c r="J150" s="25"/>
      <c r="K150" s="25"/>
      <c r="L150" s="25"/>
      <c r="M150" s="25"/>
      <c r="N150" s="25"/>
      <c r="P150" s="27"/>
      <c r="Q150" s="27"/>
      <c r="R150" s="27"/>
      <c r="S150" s="27"/>
      <c r="U150" s="27"/>
      <c r="V150" s="27"/>
      <c r="W150" s="27"/>
    </row>
    <row r="151" spans="5:23" x14ac:dyDescent="0.3">
      <c r="E151" s="25"/>
      <c r="F151" s="25"/>
      <c r="H151" s="25"/>
      <c r="I151" s="25"/>
      <c r="J151" s="25"/>
      <c r="K151" s="25"/>
      <c r="L151" s="25"/>
      <c r="M151" s="25"/>
      <c r="N151" s="25"/>
      <c r="P151" s="27"/>
      <c r="Q151" s="27"/>
      <c r="R151" s="27"/>
      <c r="S151" s="27"/>
      <c r="U151" s="27"/>
      <c r="V151" s="27"/>
      <c r="W151" s="27"/>
    </row>
    <row r="152" spans="5:23" x14ac:dyDescent="0.3">
      <c r="E152" s="25"/>
      <c r="F152" s="25"/>
      <c r="H152" s="25"/>
      <c r="I152" s="25"/>
      <c r="J152" s="25"/>
      <c r="K152" s="25"/>
      <c r="L152" s="25"/>
      <c r="M152" s="25"/>
      <c r="N152" s="25"/>
      <c r="P152" s="27"/>
      <c r="Q152" s="27"/>
      <c r="R152" s="27"/>
      <c r="S152" s="27"/>
      <c r="U152" s="27"/>
      <c r="V152" s="27"/>
      <c r="W152" s="27"/>
    </row>
    <row r="153" spans="5:23" x14ac:dyDescent="0.3">
      <c r="E153" s="25"/>
      <c r="F153" s="25"/>
      <c r="H153" s="25"/>
      <c r="I153" s="25"/>
      <c r="J153" s="25"/>
      <c r="K153" s="25"/>
      <c r="L153" s="25"/>
      <c r="M153" s="25"/>
      <c r="N153" s="25"/>
      <c r="P153" s="27"/>
      <c r="Q153" s="27"/>
      <c r="R153" s="27"/>
      <c r="S153" s="27"/>
      <c r="U153" s="27"/>
      <c r="V153" s="27"/>
      <c r="W153" s="27"/>
    </row>
    <row r="154" spans="5:23" x14ac:dyDescent="0.3">
      <c r="E154" s="25"/>
      <c r="F154" s="25"/>
      <c r="H154" s="25"/>
      <c r="I154" s="25"/>
      <c r="J154" s="25"/>
      <c r="K154" s="25"/>
      <c r="L154" s="25"/>
      <c r="M154" s="25"/>
      <c r="N154" s="25"/>
      <c r="P154" s="27"/>
      <c r="Q154" s="27"/>
      <c r="R154" s="27"/>
      <c r="S154" s="27"/>
      <c r="U154" s="27"/>
      <c r="V154" s="27"/>
      <c r="W154" s="27"/>
    </row>
    <row r="155" spans="5:23" x14ac:dyDescent="0.3">
      <c r="E155" s="25"/>
      <c r="F155" s="25"/>
      <c r="H155" s="25"/>
      <c r="I155" s="25"/>
      <c r="J155" s="25"/>
      <c r="K155" s="25"/>
      <c r="L155" s="25"/>
      <c r="M155" s="25"/>
      <c r="N155" s="25"/>
      <c r="P155" s="27"/>
      <c r="Q155" s="27"/>
      <c r="R155" s="27"/>
      <c r="S155" s="27"/>
      <c r="U155" s="27"/>
      <c r="V155" s="27"/>
      <c r="W155" s="27"/>
    </row>
    <row r="156" spans="5:23" x14ac:dyDescent="0.3">
      <c r="E156" s="25"/>
      <c r="F156" s="25"/>
      <c r="H156" s="25"/>
      <c r="I156" s="25"/>
      <c r="J156" s="25"/>
      <c r="K156" s="25"/>
      <c r="L156" s="25"/>
      <c r="M156" s="25"/>
      <c r="N156" s="25"/>
      <c r="P156" s="27"/>
      <c r="Q156" s="27"/>
      <c r="R156" s="27"/>
      <c r="S156" s="27"/>
      <c r="U156" s="27"/>
      <c r="V156" s="27"/>
      <c r="W156" s="27"/>
    </row>
    <row r="157" spans="5:23" x14ac:dyDescent="0.3">
      <c r="E157" s="25"/>
      <c r="F157" s="25"/>
      <c r="H157" s="25"/>
      <c r="I157" s="25"/>
      <c r="J157" s="25"/>
      <c r="K157" s="25"/>
      <c r="L157" s="25"/>
      <c r="M157" s="25"/>
      <c r="N157" s="25"/>
      <c r="P157" s="27"/>
      <c r="Q157" s="27"/>
      <c r="R157" s="27"/>
      <c r="S157" s="27"/>
      <c r="U157" s="27"/>
      <c r="V157" s="27"/>
      <c r="W157" s="27"/>
    </row>
    <row r="158" spans="5:23" x14ac:dyDescent="0.3">
      <c r="E158" s="25"/>
      <c r="F158" s="25"/>
      <c r="H158" s="25"/>
      <c r="I158" s="25"/>
      <c r="J158" s="25"/>
      <c r="K158" s="25"/>
      <c r="L158" s="25"/>
      <c r="M158" s="25"/>
      <c r="N158" s="25"/>
      <c r="P158" s="27"/>
      <c r="Q158" s="27"/>
      <c r="R158" s="27"/>
      <c r="S158" s="27"/>
      <c r="U158" s="27"/>
      <c r="V158" s="27"/>
      <c r="W158" s="27"/>
    </row>
    <row r="159" spans="5:23" x14ac:dyDescent="0.3">
      <c r="E159" s="25"/>
      <c r="F159" s="25"/>
      <c r="H159" s="25"/>
      <c r="I159" s="25"/>
      <c r="J159" s="25"/>
      <c r="K159" s="25"/>
      <c r="L159" s="25"/>
      <c r="M159" s="25"/>
      <c r="N159" s="25"/>
      <c r="P159" s="27"/>
      <c r="Q159" s="27"/>
      <c r="R159" s="27"/>
      <c r="S159" s="27"/>
      <c r="U159" s="27"/>
      <c r="V159" s="27"/>
      <c r="W159" s="27"/>
    </row>
    <row r="160" spans="5:23" x14ac:dyDescent="0.3">
      <c r="E160" s="25"/>
      <c r="F160" s="25"/>
      <c r="H160" s="25"/>
      <c r="I160" s="25"/>
      <c r="J160" s="25"/>
      <c r="K160" s="25"/>
      <c r="L160" s="25"/>
      <c r="M160" s="25"/>
      <c r="N160" s="25"/>
      <c r="P160" s="27"/>
      <c r="Q160" s="27"/>
      <c r="R160" s="27"/>
      <c r="S160" s="27"/>
      <c r="U160" s="27"/>
      <c r="V160" s="27"/>
      <c r="W160" s="27"/>
    </row>
    <row r="161" spans="5:23" x14ac:dyDescent="0.3">
      <c r="E161" s="25"/>
      <c r="F161" s="25"/>
      <c r="H161" s="25"/>
      <c r="I161" s="25"/>
      <c r="J161" s="25"/>
      <c r="K161" s="25"/>
      <c r="L161" s="25"/>
      <c r="M161" s="25"/>
      <c r="N161" s="25"/>
      <c r="P161" s="27"/>
      <c r="Q161" s="27"/>
      <c r="R161" s="27"/>
      <c r="S161" s="27"/>
      <c r="U161" s="27"/>
      <c r="V161" s="27"/>
      <c r="W161" s="27"/>
    </row>
    <row r="162" spans="5:23" x14ac:dyDescent="0.3">
      <c r="E162" s="25"/>
      <c r="F162" s="25"/>
      <c r="H162" s="25"/>
      <c r="I162" s="25"/>
      <c r="J162" s="25"/>
      <c r="K162" s="25"/>
      <c r="L162" s="25"/>
      <c r="M162" s="25"/>
      <c r="N162" s="25"/>
      <c r="P162" s="27"/>
      <c r="Q162" s="27"/>
      <c r="R162" s="27"/>
      <c r="S162" s="27"/>
      <c r="U162" s="27"/>
      <c r="V162" s="27"/>
      <c r="W162" s="27"/>
    </row>
    <row r="163" spans="5:23" x14ac:dyDescent="0.3">
      <c r="E163" s="25"/>
      <c r="F163" s="25"/>
      <c r="H163" s="25"/>
      <c r="I163" s="25"/>
      <c r="J163" s="25"/>
      <c r="K163" s="25"/>
      <c r="L163" s="25"/>
      <c r="M163" s="25"/>
      <c r="N163" s="25"/>
      <c r="P163" s="27"/>
      <c r="Q163" s="27"/>
      <c r="R163" s="27"/>
      <c r="S163" s="27"/>
      <c r="U163" s="27"/>
      <c r="V163" s="27"/>
      <c r="W163" s="27"/>
    </row>
    <row r="164" spans="5:23" x14ac:dyDescent="0.3">
      <c r="E164" s="25"/>
      <c r="F164" s="25"/>
      <c r="H164" s="25"/>
      <c r="I164" s="25"/>
      <c r="J164" s="25"/>
      <c r="K164" s="25"/>
      <c r="L164" s="25"/>
      <c r="M164" s="25"/>
      <c r="N164" s="25"/>
      <c r="P164" s="27"/>
      <c r="Q164" s="27"/>
      <c r="R164" s="27"/>
      <c r="S164" s="27"/>
      <c r="U164" s="27"/>
      <c r="V164" s="27"/>
      <c r="W164" s="27"/>
    </row>
    <row r="165" spans="5:23" x14ac:dyDescent="0.3">
      <c r="E165" s="25"/>
      <c r="F165" s="25"/>
      <c r="H165" s="25"/>
      <c r="I165" s="25"/>
      <c r="J165" s="25"/>
      <c r="K165" s="25"/>
      <c r="L165" s="25"/>
      <c r="M165" s="25"/>
      <c r="N165" s="25"/>
      <c r="P165" s="27"/>
      <c r="Q165" s="27"/>
      <c r="R165" s="27"/>
      <c r="S165" s="27"/>
      <c r="U165" s="27"/>
      <c r="V165" s="27"/>
      <c r="W165" s="27"/>
    </row>
    <row r="166" spans="5:23" x14ac:dyDescent="0.3">
      <c r="E166" s="25"/>
      <c r="F166" s="25"/>
      <c r="H166" s="25"/>
      <c r="I166" s="25"/>
      <c r="J166" s="25"/>
      <c r="K166" s="25"/>
      <c r="L166" s="25"/>
      <c r="M166" s="25"/>
      <c r="N166" s="25"/>
      <c r="P166" s="27"/>
      <c r="Q166" s="27"/>
      <c r="R166" s="27"/>
      <c r="S166" s="27"/>
      <c r="U166" s="27"/>
      <c r="V166" s="27"/>
      <c r="W166" s="27"/>
    </row>
    <row r="167" spans="5:23" x14ac:dyDescent="0.3">
      <c r="E167" s="25"/>
      <c r="F167" s="25"/>
      <c r="H167" s="25"/>
      <c r="I167" s="25"/>
      <c r="J167" s="25"/>
      <c r="K167" s="25"/>
      <c r="L167" s="25"/>
      <c r="M167" s="25"/>
      <c r="N167" s="25"/>
      <c r="P167" s="27"/>
      <c r="Q167" s="27"/>
      <c r="R167" s="27"/>
      <c r="S167" s="27"/>
      <c r="U167" s="27"/>
      <c r="V167" s="27"/>
      <c r="W167" s="27"/>
    </row>
    <row r="168" spans="5:23" x14ac:dyDescent="0.3">
      <c r="E168" s="25"/>
      <c r="F168" s="25"/>
      <c r="H168" s="25"/>
      <c r="I168" s="25"/>
      <c r="J168" s="25"/>
      <c r="K168" s="25"/>
      <c r="L168" s="25"/>
      <c r="M168" s="25"/>
      <c r="N168" s="25"/>
      <c r="P168" s="27"/>
      <c r="Q168" s="27"/>
      <c r="R168" s="27"/>
      <c r="S168" s="27"/>
      <c r="U168" s="27"/>
      <c r="V168" s="27"/>
      <c r="W168" s="27"/>
    </row>
    <row r="169" spans="5:23" x14ac:dyDescent="0.3">
      <c r="E169" s="25"/>
      <c r="F169" s="25"/>
      <c r="H169" s="25"/>
      <c r="I169" s="25"/>
      <c r="J169" s="25"/>
      <c r="K169" s="25"/>
      <c r="L169" s="25"/>
      <c r="M169" s="25"/>
      <c r="N169" s="25"/>
      <c r="P169" s="27"/>
      <c r="Q169" s="27"/>
      <c r="R169" s="27"/>
      <c r="S169" s="27"/>
      <c r="U169" s="27"/>
      <c r="V169" s="27"/>
      <c r="W169" s="27"/>
    </row>
    <row r="170" spans="5:23" x14ac:dyDescent="0.3">
      <c r="E170" s="25"/>
      <c r="F170" s="25"/>
      <c r="H170" s="25"/>
      <c r="I170" s="25"/>
      <c r="J170" s="25"/>
      <c r="K170" s="25"/>
      <c r="L170" s="25"/>
      <c r="M170" s="25"/>
      <c r="N170" s="25"/>
      <c r="P170" s="27"/>
      <c r="Q170" s="27"/>
      <c r="R170" s="27"/>
      <c r="S170" s="27"/>
      <c r="U170" s="27"/>
      <c r="V170" s="27"/>
      <c r="W170" s="27"/>
    </row>
    <row r="171" spans="5:23" x14ac:dyDescent="0.3">
      <c r="E171" s="25"/>
      <c r="F171" s="25"/>
      <c r="H171" s="25"/>
      <c r="I171" s="25"/>
      <c r="J171" s="25"/>
      <c r="K171" s="25"/>
      <c r="L171" s="25"/>
      <c r="M171" s="25"/>
      <c r="N171" s="25"/>
      <c r="P171" s="27"/>
      <c r="Q171" s="27"/>
      <c r="R171" s="27"/>
      <c r="S171" s="27"/>
      <c r="U171" s="27"/>
      <c r="V171" s="27"/>
      <c r="W171" s="27"/>
    </row>
    <row r="172" spans="5:23" x14ac:dyDescent="0.3">
      <c r="E172" s="25"/>
      <c r="F172" s="25"/>
      <c r="H172" s="25"/>
      <c r="I172" s="25"/>
      <c r="J172" s="25"/>
      <c r="K172" s="25"/>
      <c r="L172" s="25"/>
      <c r="M172" s="25"/>
      <c r="N172" s="25"/>
      <c r="P172" s="27"/>
      <c r="Q172" s="27"/>
      <c r="R172" s="27"/>
      <c r="S172" s="27"/>
      <c r="U172" s="27"/>
      <c r="V172" s="27"/>
      <c r="W172" s="27"/>
    </row>
    <row r="173" spans="5:23" x14ac:dyDescent="0.3">
      <c r="E173" s="25"/>
      <c r="F173" s="25"/>
      <c r="H173" s="25"/>
      <c r="I173" s="25"/>
      <c r="J173" s="25"/>
      <c r="K173" s="25"/>
      <c r="L173" s="25"/>
      <c r="M173" s="25"/>
      <c r="N173" s="25"/>
      <c r="P173" s="27"/>
      <c r="Q173" s="27"/>
      <c r="R173" s="27"/>
      <c r="S173" s="27"/>
      <c r="U173" s="27"/>
      <c r="V173" s="27"/>
      <c r="W173" s="27"/>
    </row>
    <row r="174" spans="5:23" x14ac:dyDescent="0.3">
      <c r="E174" s="25"/>
      <c r="F174" s="25"/>
      <c r="H174" s="25"/>
      <c r="I174" s="25"/>
      <c r="J174" s="25"/>
      <c r="K174" s="25"/>
      <c r="L174" s="25"/>
      <c r="M174" s="25"/>
      <c r="N174" s="25"/>
      <c r="P174" s="27"/>
      <c r="Q174" s="27"/>
      <c r="R174" s="27"/>
      <c r="S174" s="27"/>
      <c r="U174" s="27"/>
      <c r="V174" s="27"/>
      <c r="W174" s="27"/>
    </row>
    <row r="175" spans="5:23" x14ac:dyDescent="0.3">
      <c r="E175" s="25"/>
      <c r="F175" s="25"/>
      <c r="H175" s="25"/>
      <c r="I175" s="25"/>
      <c r="J175" s="25"/>
      <c r="K175" s="25"/>
      <c r="L175" s="25"/>
      <c r="M175" s="25"/>
      <c r="N175" s="25"/>
      <c r="P175" s="27"/>
      <c r="Q175" s="27"/>
      <c r="R175" s="27"/>
      <c r="S175" s="27"/>
      <c r="U175" s="27"/>
      <c r="V175" s="27"/>
      <c r="W175" s="27"/>
    </row>
    <row r="176" spans="5:23" x14ac:dyDescent="0.3">
      <c r="E176" s="25"/>
      <c r="F176" s="25"/>
      <c r="H176" s="25"/>
      <c r="I176" s="25"/>
      <c r="J176" s="25"/>
      <c r="K176" s="25"/>
      <c r="L176" s="25"/>
      <c r="M176" s="25"/>
      <c r="N176" s="25"/>
      <c r="P176" s="27"/>
      <c r="Q176" s="27"/>
      <c r="R176" s="27"/>
      <c r="S176" s="27"/>
      <c r="U176" s="27"/>
      <c r="V176" s="27"/>
      <c r="W176" s="27"/>
    </row>
    <row r="177" spans="5:23" x14ac:dyDescent="0.3">
      <c r="E177" s="25"/>
      <c r="F177" s="25"/>
      <c r="H177" s="25"/>
      <c r="I177" s="25"/>
      <c r="J177" s="25"/>
      <c r="K177" s="25"/>
      <c r="L177" s="25"/>
      <c r="M177" s="25"/>
      <c r="N177" s="25"/>
      <c r="P177" s="27"/>
      <c r="Q177" s="27"/>
      <c r="R177" s="27"/>
      <c r="S177" s="27"/>
      <c r="U177" s="27"/>
      <c r="V177" s="27"/>
      <c r="W177" s="27"/>
    </row>
    <row r="178" spans="5:23" x14ac:dyDescent="0.3">
      <c r="E178" s="25"/>
      <c r="F178" s="25"/>
      <c r="H178" s="25"/>
      <c r="I178" s="25"/>
      <c r="J178" s="25"/>
      <c r="K178" s="25"/>
      <c r="L178" s="25"/>
      <c r="M178" s="25"/>
      <c r="N178" s="25"/>
      <c r="P178" s="27"/>
      <c r="Q178" s="27"/>
      <c r="R178" s="27"/>
      <c r="S178" s="27"/>
      <c r="U178" s="27"/>
      <c r="V178" s="27"/>
      <c r="W178" s="27"/>
    </row>
    <row r="179" spans="5:23" x14ac:dyDescent="0.3">
      <c r="E179" s="25"/>
      <c r="F179" s="25"/>
      <c r="H179" s="25"/>
      <c r="I179" s="25"/>
      <c r="J179" s="25"/>
      <c r="K179" s="25"/>
      <c r="L179" s="25"/>
      <c r="M179" s="25"/>
      <c r="N179" s="25"/>
      <c r="P179" s="27"/>
      <c r="Q179" s="27"/>
      <c r="R179" s="27"/>
      <c r="S179" s="27"/>
      <c r="U179" s="27"/>
      <c r="V179" s="27"/>
      <c r="W179" s="27"/>
    </row>
    <row r="180" spans="5:23" x14ac:dyDescent="0.3">
      <c r="E180" s="25"/>
      <c r="F180" s="25"/>
      <c r="H180" s="25"/>
      <c r="I180" s="25"/>
      <c r="J180" s="25"/>
      <c r="K180" s="25"/>
      <c r="L180" s="25"/>
      <c r="M180" s="25"/>
      <c r="N180" s="25"/>
      <c r="P180" s="27"/>
      <c r="Q180" s="27"/>
      <c r="R180" s="27"/>
      <c r="S180" s="27"/>
      <c r="U180" s="27"/>
      <c r="V180" s="27"/>
      <c r="W180" s="27"/>
    </row>
    <row r="181" spans="5:23" x14ac:dyDescent="0.3">
      <c r="E181" s="25"/>
      <c r="F181" s="25"/>
      <c r="H181" s="25"/>
      <c r="I181" s="25"/>
      <c r="J181" s="25"/>
      <c r="K181" s="25"/>
      <c r="L181" s="25"/>
      <c r="M181" s="25"/>
      <c r="N181" s="25"/>
      <c r="P181" s="27"/>
      <c r="Q181" s="27"/>
      <c r="R181" s="27"/>
      <c r="S181" s="27"/>
      <c r="U181" s="27"/>
      <c r="V181" s="27"/>
      <c r="W181" s="27"/>
    </row>
    <row r="182" spans="5:23" x14ac:dyDescent="0.3">
      <c r="E182" s="25"/>
      <c r="F182" s="25"/>
      <c r="H182" s="25"/>
      <c r="I182" s="25"/>
      <c r="J182" s="25"/>
      <c r="K182" s="25"/>
      <c r="L182" s="25"/>
      <c r="M182" s="25"/>
      <c r="N182" s="25"/>
      <c r="P182" s="27"/>
      <c r="Q182" s="27"/>
      <c r="R182" s="27"/>
      <c r="S182" s="27"/>
      <c r="U182" s="27"/>
      <c r="V182" s="27"/>
      <c r="W182" s="27"/>
    </row>
    <row r="183" spans="5:23" x14ac:dyDescent="0.3">
      <c r="E183" s="25"/>
      <c r="F183" s="25"/>
      <c r="H183" s="25"/>
      <c r="I183" s="25"/>
      <c r="J183" s="25"/>
      <c r="K183" s="25"/>
      <c r="L183" s="25"/>
      <c r="M183" s="25"/>
      <c r="N183" s="25"/>
      <c r="P183" s="27"/>
      <c r="Q183" s="27"/>
      <c r="R183" s="27"/>
      <c r="S183" s="27"/>
      <c r="U183" s="27"/>
      <c r="V183" s="27"/>
      <c r="W183" s="27"/>
    </row>
    <row r="184" spans="5:23" x14ac:dyDescent="0.3">
      <c r="E184" s="25"/>
      <c r="F184" s="25"/>
      <c r="H184" s="25"/>
      <c r="I184" s="25"/>
      <c r="J184" s="25"/>
      <c r="K184" s="25"/>
      <c r="L184" s="25"/>
      <c r="M184" s="25"/>
      <c r="N184" s="25"/>
      <c r="P184" s="27"/>
      <c r="Q184" s="27"/>
      <c r="R184" s="27"/>
      <c r="S184" s="27"/>
      <c r="U184" s="27"/>
      <c r="V184" s="27"/>
      <c r="W184" s="27"/>
    </row>
    <row r="185" spans="5:23" x14ac:dyDescent="0.3">
      <c r="E185" s="25"/>
      <c r="F185" s="25"/>
      <c r="H185" s="25"/>
      <c r="I185" s="25"/>
      <c r="J185" s="25"/>
      <c r="K185" s="25"/>
      <c r="L185" s="25"/>
      <c r="M185" s="25"/>
      <c r="N185" s="25"/>
      <c r="P185" s="27"/>
      <c r="Q185" s="27"/>
      <c r="R185" s="27"/>
      <c r="S185" s="27"/>
      <c r="U185" s="27"/>
      <c r="V185" s="27"/>
      <c r="W185" s="27"/>
    </row>
    <row r="186" spans="5:23" x14ac:dyDescent="0.3">
      <c r="E186" s="25"/>
      <c r="F186" s="25"/>
      <c r="H186" s="25"/>
      <c r="I186" s="25"/>
      <c r="J186" s="25"/>
      <c r="K186" s="25"/>
      <c r="L186" s="25"/>
      <c r="M186" s="25"/>
      <c r="N186" s="25"/>
      <c r="P186" s="27"/>
      <c r="Q186" s="27"/>
      <c r="R186" s="27"/>
      <c r="S186" s="27"/>
      <c r="U186" s="27"/>
      <c r="V186" s="27"/>
      <c r="W186" s="27"/>
    </row>
    <row r="187" spans="5:23" x14ac:dyDescent="0.3">
      <c r="E187" s="25"/>
      <c r="F187" s="25"/>
      <c r="H187" s="25"/>
      <c r="I187" s="25"/>
      <c r="J187" s="25"/>
      <c r="K187" s="25"/>
      <c r="L187" s="25"/>
      <c r="M187" s="25"/>
      <c r="N187" s="25"/>
      <c r="P187" s="27"/>
      <c r="Q187" s="27"/>
      <c r="R187" s="27"/>
      <c r="S187" s="27"/>
      <c r="U187" s="27"/>
      <c r="V187" s="27"/>
      <c r="W187" s="27"/>
    </row>
    <row r="188" spans="5:23" x14ac:dyDescent="0.3">
      <c r="E188" s="25"/>
      <c r="F188" s="25"/>
      <c r="H188" s="25"/>
      <c r="I188" s="25"/>
      <c r="J188" s="25"/>
      <c r="K188" s="25"/>
      <c r="L188" s="25"/>
      <c r="M188" s="25"/>
      <c r="N188" s="25"/>
      <c r="P188" s="27"/>
      <c r="Q188" s="27"/>
      <c r="R188" s="27"/>
      <c r="S188" s="27"/>
      <c r="U188" s="27"/>
      <c r="V188" s="27"/>
      <c r="W188" s="27"/>
    </row>
    <row r="189" spans="5:23" x14ac:dyDescent="0.3">
      <c r="E189" s="25"/>
      <c r="F189" s="25"/>
      <c r="H189" s="25"/>
      <c r="I189" s="25"/>
      <c r="J189" s="25"/>
      <c r="K189" s="25"/>
      <c r="L189" s="25"/>
      <c r="M189" s="25"/>
      <c r="N189" s="25"/>
      <c r="P189" s="27"/>
      <c r="Q189" s="27"/>
      <c r="R189" s="27"/>
      <c r="S189" s="27"/>
      <c r="U189" s="27"/>
      <c r="V189" s="27"/>
      <c r="W189" s="27"/>
    </row>
    <row r="190" spans="5:23" x14ac:dyDescent="0.3">
      <c r="E190" s="25"/>
      <c r="F190" s="25"/>
      <c r="H190" s="25"/>
      <c r="I190" s="25"/>
      <c r="J190" s="25"/>
      <c r="K190" s="25"/>
      <c r="L190" s="25"/>
      <c r="M190" s="25"/>
      <c r="N190" s="25"/>
      <c r="P190" s="27"/>
      <c r="Q190" s="27"/>
      <c r="R190" s="27"/>
      <c r="S190" s="27"/>
      <c r="U190" s="27"/>
      <c r="V190" s="27"/>
      <c r="W190" s="27"/>
    </row>
    <row r="191" spans="5:23" x14ac:dyDescent="0.3">
      <c r="E191" s="25"/>
      <c r="F191" s="25"/>
      <c r="H191" s="25"/>
      <c r="I191" s="25"/>
      <c r="J191" s="25"/>
      <c r="K191" s="25"/>
      <c r="L191" s="25"/>
      <c r="M191" s="25"/>
      <c r="N191" s="25"/>
      <c r="P191" s="27"/>
      <c r="Q191" s="27"/>
      <c r="R191" s="27"/>
      <c r="S191" s="27"/>
      <c r="U191" s="27"/>
      <c r="V191" s="27"/>
      <c r="W191" s="27"/>
    </row>
    <row r="192" spans="5:23" x14ac:dyDescent="0.3">
      <c r="E192" s="25"/>
      <c r="F192" s="25"/>
      <c r="H192" s="25"/>
      <c r="I192" s="25"/>
      <c r="J192" s="25"/>
      <c r="K192" s="25"/>
      <c r="L192" s="25"/>
      <c r="M192" s="25"/>
      <c r="N192" s="25"/>
      <c r="P192" s="27"/>
      <c r="Q192" s="27"/>
      <c r="R192" s="27"/>
      <c r="S192" s="27"/>
      <c r="U192" s="27"/>
      <c r="V192" s="27"/>
      <c r="W192" s="27"/>
    </row>
    <row r="193" spans="5:23" x14ac:dyDescent="0.3">
      <c r="E193" s="25"/>
      <c r="F193" s="25"/>
      <c r="H193" s="25"/>
      <c r="I193" s="25"/>
      <c r="J193" s="25"/>
      <c r="K193" s="25"/>
      <c r="L193" s="25"/>
      <c r="M193" s="25"/>
      <c r="N193" s="25"/>
      <c r="P193" s="27"/>
      <c r="Q193" s="27"/>
      <c r="R193" s="27"/>
      <c r="S193" s="27"/>
      <c r="U193" s="27"/>
      <c r="V193" s="27"/>
      <c r="W193" s="27"/>
    </row>
    <row r="194" spans="5:23" x14ac:dyDescent="0.3">
      <c r="E194" s="25"/>
      <c r="F194" s="25"/>
      <c r="H194" s="25"/>
      <c r="I194" s="25"/>
      <c r="J194" s="25"/>
      <c r="K194" s="25"/>
      <c r="L194" s="25"/>
      <c r="M194" s="25"/>
      <c r="N194" s="25"/>
      <c r="P194" s="27"/>
      <c r="Q194" s="27"/>
      <c r="R194" s="27"/>
      <c r="S194" s="27"/>
      <c r="U194" s="27"/>
      <c r="V194" s="27"/>
      <c r="W194" s="27"/>
    </row>
    <row r="195" spans="5:23" x14ac:dyDescent="0.3">
      <c r="E195" s="25"/>
      <c r="F195" s="25"/>
      <c r="H195" s="25"/>
      <c r="I195" s="25"/>
      <c r="J195" s="25"/>
      <c r="K195" s="25"/>
      <c r="L195" s="25"/>
      <c r="M195" s="25"/>
      <c r="N195" s="25"/>
      <c r="P195" s="27"/>
      <c r="Q195" s="27"/>
      <c r="R195" s="27"/>
      <c r="S195" s="27"/>
      <c r="U195" s="27"/>
      <c r="V195" s="27"/>
      <c r="W195" s="27"/>
    </row>
    <row r="196" spans="5:23" x14ac:dyDescent="0.3">
      <c r="E196" s="25"/>
      <c r="F196" s="25"/>
      <c r="H196" s="25"/>
      <c r="I196" s="25"/>
      <c r="J196" s="25"/>
      <c r="K196" s="25"/>
      <c r="L196" s="25"/>
      <c r="M196" s="25"/>
      <c r="N196" s="25"/>
      <c r="P196" s="27"/>
      <c r="Q196" s="27"/>
      <c r="R196" s="27"/>
      <c r="S196" s="27"/>
      <c r="U196" s="27"/>
      <c r="V196" s="27"/>
      <c r="W196" s="27"/>
    </row>
    <row r="197" spans="5:23" x14ac:dyDescent="0.3">
      <c r="E197" s="25"/>
      <c r="F197" s="25"/>
      <c r="H197" s="25"/>
      <c r="I197" s="25"/>
      <c r="J197" s="25"/>
      <c r="K197" s="25"/>
      <c r="L197" s="25"/>
      <c r="M197" s="25"/>
      <c r="N197" s="25"/>
      <c r="P197" s="27"/>
      <c r="Q197" s="27"/>
      <c r="R197" s="27"/>
      <c r="S197" s="27"/>
      <c r="U197" s="27"/>
      <c r="V197" s="27"/>
      <c r="W197" s="27"/>
    </row>
    <row r="198" spans="5:23" x14ac:dyDescent="0.3">
      <c r="E198" s="25"/>
      <c r="F198" s="25"/>
      <c r="H198" s="25"/>
      <c r="I198" s="25"/>
      <c r="J198" s="25"/>
      <c r="K198" s="25"/>
      <c r="L198" s="25"/>
      <c r="M198" s="25"/>
      <c r="N198" s="25"/>
      <c r="P198" s="27"/>
      <c r="Q198" s="27"/>
      <c r="R198" s="27"/>
      <c r="S198" s="27"/>
      <c r="U198" s="27"/>
      <c r="V198" s="27"/>
      <c r="W198" s="27"/>
    </row>
    <row r="199" spans="5:23" x14ac:dyDescent="0.3">
      <c r="E199" s="25"/>
      <c r="F199" s="25"/>
      <c r="H199" s="25"/>
      <c r="I199" s="25"/>
      <c r="J199" s="25"/>
      <c r="K199" s="25"/>
      <c r="L199" s="25"/>
      <c r="M199" s="25"/>
      <c r="N199" s="25"/>
      <c r="P199" s="27"/>
      <c r="Q199" s="27"/>
      <c r="R199" s="27"/>
      <c r="S199" s="27"/>
      <c r="U199" s="27"/>
      <c r="V199" s="27"/>
      <c r="W199" s="27"/>
    </row>
    <row r="200" spans="5:23" x14ac:dyDescent="0.3">
      <c r="E200" s="25"/>
      <c r="F200" s="25"/>
      <c r="H200" s="25"/>
      <c r="I200" s="25"/>
      <c r="J200" s="25"/>
      <c r="K200" s="25"/>
      <c r="L200" s="25"/>
      <c r="M200" s="25"/>
      <c r="N200" s="25"/>
      <c r="P200" s="27"/>
      <c r="Q200" s="27"/>
      <c r="R200" s="27"/>
      <c r="S200" s="27"/>
      <c r="U200" s="27"/>
      <c r="V200" s="27"/>
      <c r="W200" s="27"/>
    </row>
    <row r="201" spans="5:23" x14ac:dyDescent="0.3">
      <c r="E201" s="25"/>
      <c r="F201" s="25"/>
      <c r="H201" s="25"/>
      <c r="I201" s="25"/>
      <c r="J201" s="25"/>
      <c r="K201" s="25"/>
      <c r="L201" s="25"/>
      <c r="M201" s="25"/>
      <c r="N201" s="25"/>
      <c r="P201" s="27"/>
      <c r="Q201" s="27"/>
      <c r="R201" s="27"/>
      <c r="S201" s="27"/>
      <c r="U201" s="27"/>
      <c r="V201" s="27"/>
      <c r="W201" s="27"/>
    </row>
    <row r="202" spans="5:23" x14ac:dyDescent="0.3">
      <c r="E202" s="25"/>
      <c r="F202" s="25"/>
      <c r="H202" s="25"/>
      <c r="I202" s="25"/>
      <c r="J202" s="25"/>
      <c r="K202" s="25"/>
      <c r="L202" s="25"/>
      <c r="M202" s="25"/>
      <c r="N202" s="25"/>
      <c r="P202" s="27"/>
      <c r="Q202" s="27"/>
      <c r="R202" s="27"/>
      <c r="S202" s="27"/>
      <c r="U202" s="27"/>
      <c r="V202" s="27"/>
      <c r="W202" s="27"/>
    </row>
    <row r="203" spans="5:23" x14ac:dyDescent="0.3">
      <c r="E203" s="25"/>
      <c r="F203" s="25"/>
      <c r="H203" s="25"/>
      <c r="I203" s="25"/>
      <c r="J203" s="25"/>
      <c r="K203" s="25"/>
      <c r="L203" s="25"/>
      <c r="M203" s="25"/>
      <c r="N203" s="25"/>
      <c r="P203" s="27"/>
      <c r="Q203" s="27"/>
      <c r="R203" s="27"/>
      <c r="S203" s="27"/>
      <c r="U203" s="27"/>
      <c r="V203" s="27"/>
      <c r="W203" s="27"/>
    </row>
    <row r="204" spans="5:23" x14ac:dyDescent="0.3">
      <c r="E204" s="25"/>
      <c r="F204" s="25"/>
      <c r="H204" s="25"/>
      <c r="I204" s="25"/>
      <c r="J204" s="25"/>
      <c r="K204" s="25"/>
      <c r="L204" s="25"/>
      <c r="M204" s="25"/>
      <c r="N204" s="25"/>
      <c r="P204" s="27"/>
      <c r="Q204" s="27"/>
      <c r="R204" s="27"/>
      <c r="S204" s="27"/>
      <c r="U204" s="27"/>
      <c r="V204" s="27"/>
      <c r="W204" s="27"/>
    </row>
    <row r="205" spans="5:23" x14ac:dyDescent="0.3">
      <c r="E205" s="25"/>
      <c r="F205" s="25"/>
      <c r="H205" s="25"/>
      <c r="I205" s="25"/>
      <c r="J205" s="25"/>
      <c r="K205" s="25"/>
      <c r="L205" s="25"/>
      <c r="M205" s="25"/>
      <c r="N205" s="25"/>
      <c r="P205" s="27"/>
      <c r="Q205" s="27"/>
      <c r="R205" s="27"/>
      <c r="S205" s="27"/>
      <c r="U205" s="27"/>
      <c r="V205" s="27"/>
      <c r="W205" s="27"/>
    </row>
    <row r="206" spans="5:23" x14ac:dyDescent="0.3">
      <c r="E206" s="25"/>
      <c r="F206" s="25"/>
      <c r="H206" s="25"/>
      <c r="I206" s="25"/>
      <c r="J206" s="25"/>
      <c r="K206" s="25"/>
      <c r="L206" s="25"/>
      <c r="M206" s="25"/>
      <c r="N206" s="25"/>
      <c r="P206" s="27"/>
      <c r="Q206" s="27"/>
      <c r="R206" s="27"/>
      <c r="S206" s="27"/>
      <c r="U206" s="27"/>
      <c r="V206" s="27"/>
      <c r="W206" s="27"/>
    </row>
    <row r="207" spans="5:23" x14ac:dyDescent="0.3">
      <c r="E207" s="25"/>
      <c r="F207" s="25"/>
      <c r="H207" s="25"/>
      <c r="I207" s="25"/>
      <c r="J207" s="25"/>
      <c r="K207" s="25"/>
      <c r="L207" s="25"/>
      <c r="M207" s="25"/>
      <c r="N207" s="25"/>
      <c r="P207" s="27"/>
      <c r="Q207" s="27"/>
      <c r="R207" s="27"/>
      <c r="S207" s="27"/>
      <c r="U207" s="27"/>
      <c r="V207" s="27"/>
      <c r="W207" s="27"/>
    </row>
    <row r="208" spans="5:23" x14ac:dyDescent="0.3">
      <c r="E208" s="25"/>
      <c r="F208" s="25"/>
      <c r="H208" s="25"/>
      <c r="I208" s="25"/>
      <c r="J208" s="25"/>
      <c r="K208" s="25"/>
      <c r="L208" s="25"/>
      <c r="M208" s="25"/>
      <c r="N208" s="25"/>
      <c r="P208" s="27"/>
      <c r="Q208" s="27"/>
      <c r="R208" s="27"/>
      <c r="S208" s="27"/>
      <c r="U208" s="27"/>
      <c r="V208" s="27"/>
      <c r="W208" s="27"/>
    </row>
    <row r="209" spans="5:23" x14ac:dyDescent="0.3">
      <c r="E209" s="25"/>
      <c r="F209" s="25"/>
      <c r="H209" s="25"/>
      <c r="I209" s="25"/>
      <c r="J209" s="25"/>
      <c r="K209" s="25"/>
      <c r="L209" s="25"/>
      <c r="M209" s="25"/>
      <c r="N209" s="25"/>
      <c r="P209" s="27"/>
      <c r="Q209" s="27"/>
      <c r="R209" s="27"/>
      <c r="S209" s="27"/>
      <c r="U209" s="27"/>
      <c r="V209" s="27"/>
      <c r="W209" s="27"/>
    </row>
    <row r="210" spans="5:23" x14ac:dyDescent="0.3">
      <c r="E210" s="25"/>
      <c r="F210" s="25"/>
      <c r="H210" s="25"/>
      <c r="I210" s="25"/>
      <c r="J210" s="25"/>
      <c r="K210" s="25"/>
      <c r="L210" s="25"/>
      <c r="M210" s="25"/>
      <c r="N210" s="25"/>
      <c r="P210" s="27"/>
      <c r="Q210" s="27"/>
      <c r="R210" s="27"/>
      <c r="S210" s="27"/>
      <c r="U210" s="27"/>
      <c r="V210" s="27"/>
      <c r="W210" s="27"/>
    </row>
    <row r="211" spans="5:23" x14ac:dyDescent="0.3">
      <c r="E211" s="25"/>
      <c r="F211" s="25"/>
      <c r="H211" s="25"/>
      <c r="I211" s="25"/>
      <c r="J211" s="25"/>
      <c r="K211" s="25"/>
      <c r="L211" s="25"/>
      <c r="M211" s="25"/>
      <c r="N211" s="25"/>
      <c r="P211" s="27"/>
      <c r="Q211" s="27"/>
      <c r="R211" s="27"/>
      <c r="S211" s="27"/>
      <c r="U211" s="27"/>
      <c r="V211" s="27"/>
      <c r="W211" s="27"/>
    </row>
    <row r="212" spans="5:23" x14ac:dyDescent="0.3">
      <c r="E212" s="25"/>
      <c r="F212" s="25"/>
      <c r="H212" s="25"/>
      <c r="I212" s="25"/>
      <c r="J212" s="25"/>
      <c r="K212" s="25"/>
      <c r="L212" s="25"/>
      <c r="M212" s="25"/>
      <c r="N212" s="25"/>
      <c r="P212" s="27"/>
      <c r="Q212" s="27"/>
      <c r="R212" s="27"/>
      <c r="S212" s="27"/>
      <c r="U212" s="27"/>
      <c r="V212" s="27"/>
      <c r="W212" s="27"/>
    </row>
    <row r="213" spans="5:23" x14ac:dyDescent="0.3">
      <c r="E213" s="25"/>
      <c r="F213" s="25"/>
      <c r="H213" s="25"/>
      <c r="I213" s="25"/>
      <c r="J213" s="25"/>
      <c r="K213" s="25"/>
      <c r="L213" s="25"/>
      <c r="M213" s="25"/>
      <c r="N213" s="25"/>
      <c r="P213" s="27"/>
      <c r="Q213" s="27"/>
      <c r="R213" s="27"/>
      <c r="S213" s="27"/>
      <c r="U213" s="27"/>
      <c r="V213" s="27"/>
      <c r="W213" s="27"/>
    </row>
    <row r="214" spans="5:23" x14ac:dyDescent="0.3">
      <c r="E214" s="25"/>
      <c r="F214" s="25"/>
      <c r="H214" s="25"/>
      <c r="I214" s="25"/>
      <c r="J214" s="25"/>
      <c r="K214" s="25"/>
      <c r="L214" s="25"/>
      <c r="M214" s="25"/>
      <c r="N214" s="25"/>
      <c r="P214" s="27"/>
      <c r="Q214" s="27"/>
      <c r="R214" s="27"/>
      <c r="S214" s="27"/>
      <c r="U214" s="27"/>
      <c r="V214" s="27"/>
      <c r="W214" s="27"/>
    </row>
    <row r="215" spans="5:23" x14ac:dyDescent="0.3">
      <c r="E215" s="25"/>
      <c r="F215" s="25"/>
      <c r="H215" s="25"/>
      <c r="I215" s="25"/>
      <c r="J215" s="25"/>
      <c r="K215" s="25"/>
      <c r="L215" s="25"/>
      <c r="M215" s="25"/>
      <c r="N215" s="25"/>
      <c r="P215" s="27"/>
      <c r="Q215" s="27"/>
      <c r="R215" s="27"/>
      <c r="S215" s="27"/>
      <c r="U215" s="27"/>
      <c r="V215" s="27"/>
      <c r="W215" s="27"/>
    </row>
    <row r="216" spans="5:23" x14ac:dyDescent="0.3">
      <c r="E216" s="25"/>
      <c r="F216" s="25"/>
      <c r="H216" s="25"/>
      <c r="I216" s="25"/>
      <c r="J216" s="25"/>
      <c r="K216" s="25"/>
      <c r="L216" s="25"/>
      <c r="M216" s="25"/>
      <c r="N216" s="25"/>
      <c r="P216" s="27"/>
      <c r="Q216" s="27"/>
      <c r="R216" s="27"/>
      <c r="S216" s="27"/>
      <c r="U216" s="27"/>
      <c r="V216" s="27"/>
      <c r="W216" s="27"/>
    </row>
    <row r="217" spans="5:23" x14ac:dyDescent="0.3">
      <c r="E217" s="25"/>
      <c r="F217" s="25"/>
      <c r="H217" s="25"/>
      <c r="I217" s="25"/>
      <c r="J217" s="25"/>
      <c r="K217" s="25"/>
      <c r="L217" s="25"/>
      <c r="M217" s="25"/>
      <c r="N217" s="25"/>
      <c r="P217" s="27"/>
      <c r="Q217" s="27"/>
      <c r="R217" s="27"/>
      <c r="S217" s="27"/>
      <c r="U217" s="27"/>
      <c r="V217" s="27"/>
      <c r="W217" s="27"/>
    </row>
    <row r="218" spans="5:23" x14ac:dyDescent="0.3">
      <c r="E218" s="25"/>
      <c r="F218" s="25"/>
      <c r="H218" s="25"/>
      <c r="I218" s="25"/>
      <c r="J218" s="25"/>
      <c r="K218" s="25"/>
      <c r="L218" s="25"/>
      <c r="M218" s="25"/>
      <c r="N218" s="25"/>
      <c r="P218" s="27"/>
      <c r="Q218" s="27"/>
      <c r="R218" s="27"/>
      <c r="S218" s="27"/>
      <c r="U218" s="27"/>
      <c r="V218" s="27"/>
      <c r="W218" s="27"/>
    </row>
    <row r="219" spans="5:23" x14ac:dyDescent="0.3">
      <c r="E219" s="25"/>
      <c r="F219" s="25"/>
      <c r="H219" s="25"/>
      <c r="I219" s="25"/>
      <c r="J219" s="25"/>
      <c r="K219" s="25"/>
      <c r="L219" s="25"/>
      <c r="M219" s="25"/>
      <c r="N219" s="25"/>
      <c r="P219" s="27"/>
      <c r="Q219" s="27"/>
      <c r="R219" s="27"/>
      <c r="S219" s="27"/>
      <c r="U219" s="27"/>
      <c r="V219" s="27"/>
      <c r="W219" s="27"/>
    </row>
    <row r="220" spans="5:23" x14ac:dyDescent="0.3">
      <c r="E220" s="25"/>
      <c r="F220" s="25"/>
      <c r="H220" s="25"/>
      <c r="I220" s="25"/>
      <c r="J220" s="25"/>
      <c r="K220" s="25"/>
      <c r="L220" s="25"/>
      <c r="M220" s="25"/>
      <c r="N220" s="25"/>
      <c r="P220" s="27"/>
      <c r="Q220" s="27"/>
      <c r="R220" s="27"/>
      <c r="S220" s="27"/>
      <c r="U220" s="27"/>
      <c r="V220" s="27"/>
      <c r="W220" s="27"/>
    </row>
    <row r="221" spans="5:23" x14ac:dyDescent="0.3">
      <c r="E221" s="25"/>
      <c r="F221" s="25"/>
      <c r="H221" s="25"/>
      <c r="I221" s="25"/>
      <c r="J221" s="25"/>
      <c r="K221" s="25"/>
      <c r="L221" s="25"/>
      <c r="M221" s="25"/>
      <c r="N221" s="25"/>
      <c r="P221" s="27"/>
      <c r="Q221" s="27"/>
      <c r="R221" s="27"/>
      <c r="S221" s="27"/>
      <c r="U221" s="27"/>
      <c r="V221" s="27"/>
      <c r="W221" s="27"/>
    </row>
    <row r="222" spans="5:23" x14ac:dyDescent="0.3">
      <c r="E222" s="25"/>
      <c r="F222" s="25"/>
      <c r="H222" s="25"/>
      <c r="I222" s="25"/>
      <c r="J222" s="25"/>
      <c r="K222" s="25"/>
      <c r="L222" s="25"/>
      <c r="M222" s="25"/>
      <c r="N222" s="25"/>
      <c r="P222" s="27"/>
      <c r="Q222" s="27"/>
      <c r="R222" s="27"/>
      <c r="S222" s="27"/>
      <c r="U222" s="27"/>
      <c r="V222" s="27"/>
      <c r="W222" s="27"/>
    </row>
    <row r="223" spans="5:23" x14ac:dyDescent="0.3">
      <c r="E223" s="25"/>
      <c r="F223" s="25"/>
      <c r="H223" s="25"/>
      <c r="I223" s="25"/>
      <c r="J223" s="25"/>
      <c r="K223" s="25"/>
      <c r="L223" s="25"/>
      <c r="M223" s="25"/>
      <c r="N223" s="25"/>
      <c r="P223" s="27"/>
      <c r="Q223" s="27"/>
      <c r="R223" s="27"/>
      <c r="S223" s="27"/>
      <c r="U223" s="27"/>
      <c r="V223" s="27"/>
      <c r="W223" s="27"/>
    </row>
    <row r="224" spans="5:23" x14ac:dyDescent="0.3">
      <c r="E224" s="25"/>
      <c r="F224" s="25"/>
      <c r="H224" s="25"/>
      <c r="I224" s="25"/>
      <c r="J224" s="25"/>
      <c r="K224" s="25"/>
      <c r="L224" s="25"/>
      <c r="M224" s="25"/>
      <c r="N224" s="25"/>
      <c r="P224" s="27"/>
      <c r="Q224" s="27"/>
      <c r="R224" s="27"/>
      <c r="S224" s="27"/>
      <c r="U224" s="27"/>
      <c r="V224" s="27"/>
      <c r="W224" s="27"/>
    </row>
    <row r="225" spans="5:23" x14ac:dyDescent="0.3">
      <c r="E225" s="25"/>
      <c r="F225" s="25"/>
      <c r="H225" s="25"/>
      <c r="I225" s="25"/>
      <c r="J225" s="25"/>
      <c r="K225" s="25"/>
      <c r="L225" s="25"/>
      <c r="M225" s="25"/>
      <c r="N225" s="25"/>
      <c r="P225" s="27"/>
      <c r="Q225" s="27"/>
      <c r="R225" s="27"/>
      <c r="S225" s="27"/>
      <c r="U225" s="27"/>
      <c r="V225" s="27"/>
      <c r="W225" s="27"/>
    </row>
    <row r="226" spans="5:23" x14ac:dyDescent="0.3">
      <c r="E226" s="25"/>
      <c r="F226" s="25"/>
      <c r="H226" s="25"/>
      <c r="I226" s="25"/>
      <c r="J226" s="25"/>
      <c r="K226" s="25"/>
      <c r="L226" s="25"/>
      <c r="M226" s="25"/>
      <c r="N226" s="25"/>
      <c r="P226" s="27"/>
      <c r="Q226" s="27"/>
      <c r="R226" s="27"/>
      <c r="S226" s="27"/>
      <c r="U226" s="27"/>
      <c r="V226" s="27"/>
      <c r="W226" s="27"/>
    </row>
    <row r="227" spans="5:23" x14ac:dyDescent="0.3">
      <c r="E227" s="25"/>
      <c r="F227" s="25"/>
      <c r="H227" s="25"/>
      <c r="I227" s="25"/>
      <c r="J227" s="25"/>
      <c r="K227" s="25"/>
      <c r="L227" s="25"/>
      <c r="M227" s="25"/>
      <c r="N227" s="25"/>
      <c r="P227" s="27"/>
      <c r="Q227" s="27"/>
      <c r="R227" s="27"/>
      <c r="S227" s="27"/>
      <c r="U227" s="27"/>
      <c r="V227" s="27"/>
      <c r="W227" s="27"/>
    </row>
    <row r="228" spans="5:23" x14ac:dyDescent="0.3">
      <c r="E228" s="25"/>
      <c r="F228" s="25"/>
      <c r="H228" s="25"/>
      <c r="I228" s="25"/>
      <c r="J228" s="25"/>
      <c r="K228" s="25"/>
      <c r="L228" s="25"/>
      <c r="M228" s="25"/>
      <c r="N228" s="25"/>
      <c r="P228" s="27"/>
      <c r="Q228" s="27"/>
      <c r="R228" s="27"/>
      <c r="S228" s="27"/>
      <c r="U228" s="27"/>
      <c r="V228" s="27"/>
      <c r="W228" s="27"/>
    </row>
    <row r="229" spans="5:23" x14ac:dyDescent="0.3">
      <c r="E229" s="25"/>
      <c r="F229" s="25"/>
      <c r="H229" s="25"/>
      <c r="I229" s="25"/>
      <c r="J229" s="25"/>
      <c r="K229" s="25"/>
      <c r="L229" s="25"/>
      <c r="M229" s="25"/>
      <c r="N229" s="25"/>
      <c r="P229" s="27"/>
      <c r="Q229" s="27"/>
      <c r="R229" s="27"/>
      <c r="S229" s="27"/>
      <c r="U229" s="27"/>
      <c r="V229" s="27"/>
      <c r="W229" s="27"/>
    </row>
    <row r="230" spans="5:23" x14ac:dyDescent="0.3">
      <c r="E230" s="25"/>
      <c r="F230" s="25"/>
      <c r="H230" s="25"/>
      <c r="I230" s="25"/>
      <c r="J230" s="25"/>
      <c r="K230" s="25"/>
      <c r="L230" s="25"/>
      <c r="M230" s="25"/>
      <c r="N230" s="25"/>
      <c r="P230" s="27"/>
      <c r="Q230" s="27"/>
      <c r="R230" s="27"/>
      <c r="S230" s="27"/>
      <c r="U230" s="27"/>
      <c r="V230" s="27"/>
      <c r="W230" s="27"/>
    </row>
    <row r="231" spans="5:23" x14ac:dyDescent="0.3">
      <c r="E231" s="25"/>
      <c r="F231" s="25"/>
      <c r="H231" s="25"/>
      <c r="I231" s="25"/>
      <c r="J231" s="25"/>
      <c r="K231" s="25"/>
      <c r="L231" s="25"/>
      <c r="M231" s="25"/>
      <c r="N231" s="25"/>
      <c r="P231" s="27"/>
      <c r="Q231" s="27"/>
      <c r="R231" s="27"/>
      <c r="S231" s="27"/>
      <c r="U231" s="27"/>
      <c r="V231" s="27"/>
      <c r="W231" s="27"/>
    </row>
    <row r="232" spans="5:23" x14ac:dyDescent="0.3">
      <c r="E232" s="25"/>
      <c r="F232" s="25"/>
      <c r="H232" s="25"/>
      <c r="I232" s="25"/>
      <c r="J232" s="25"/>
      <c r="K232" s="25"/>
      <c r="L232" s="25"/>
      <c r="M232" s="25"/>
      <c r="N232" s="25"/>
      <c r="P232" s="27"/>
      <c r="Q232" s="27"/>
      <c r="R232" s="27"/>
      <c r="S232" s="27"/>
      <c r="U232" s="27"/>
      <c r="V232" s="27"/>
      <c r="W232" s="27"/>
    </row>
    <row r="233" spans="5:23" x14ac:dyDescent="0.3">
      <c r="E233" s="25"/>
      <c r="F233" s="25"/>
      <c r="H233" s="25"/>
      <c r="I233" s="25"/>
      <c r="J233" s="25"/>
      <c r="K233" s="25"/>
      <c r="L233" s="25"/>
      <c r="M233" s="25"/>
      <c r="N233" s="25"/>
      <c r="P233" s="27"/>
      <c r="Q233" s="27"/>
      <c r="R233" s="27"/>
      <c r="S233" s="27"/>
      <c r="U233" s="27"/>
      <c r="V233" s="27"/>
      <c r="W233" s="27"/>
    </row>
    <row r="234" spans="5:23" x14ac:dyDescent="0.3">
      <c r="E234" s="25"/>
      <c r="F234" s="25"/>
      <c r="H234" s="25"/>
      <c r="I234" s="25"/>
      <c r="J234" s="25"/>
      <c r="K234" s="25"/>
      <c r="L234" s="25"/>
      <c r="M234" s="25"/>
      <c r="N234" s="25"/>
      <c r="P234" s="27"/>
      <c r="Q234" s="27"/>
      <c r="R234" s="27"/>
      <c r="S234" s="27"/>
      <c r="U234" s="27"/>
      <c r="V234" s="27"/>
      <c r="W234" s="27"/>
    </row>
    <row r="235" spans="5:23" x14ac:dyDescent="0.3">
      <c r="E235" s="25"/>
      <c r="F235" s="25"/>
      <c r="H235" s="25"/>
      <c r="I235" s="25"/>
      <c r="J235" s="25"/>
      <c r="K235" s="25"/>
      <c r="L235" s="25"/>
      <c r="M235" s="25"/>
      <c r="N235" s="25"/>
      <c r="P235" s="27"/>
      <c r="Q235" s="27"/>
      <c r="R235" s="27"/>
      <c r="S235" s="27"/>
      <c r="U235" s="27"/>
      <c r="V235" s="27"/>
      <c r="W235" s="27"/>
    </row>
    <row r="236" spans="5:23" x14ac:dyDescent="0.3">
      <c r="E236" s="25"/>
      <c r="F236" s="25"/>
      <c r="H236" s="25"/>
      <c r="I236" s="25"/>
      <c r="J236" s="25"/>
      <c r="K236" s="25"/>
      <c r="L236" s="25"/>
      <c r="M236" s="25"/>
      <c r="N236" s="25"/>
      <c r="P236" s="27"/>
      <c r="Q236" s="27"/>
      <c r="R236" s="27"/>
      <c r="S236" s="27"/>
      <c r="U236" s="27"/>
      <c r="V236" s="27"/>
      <c r="W236" s="27"/>
    </row>
    <row r="237" spans="5:23" x14ac:dyDescent="0.3">
      <c r="E237" s="25"/>
      <c r="F237" s="25"/>
      <c r="H237" s="25"/>
      <c r="I237" s="25"/>
      <c r="J237" s="25"/>
      <c r="K237" s="25"/>
      <c r="L237" s="25"/>
      <c r="M237" s="25"/>
      <c r="N237" s="25"/>
      <c r="P237" s="27"/>
      <c r="Q237" s="27"/>
      <c r="R237" s="27"/>
      <c r="S237" s="27"/>
      <c r="U237" s="27"/>
      <c r="V237" s="27"/>
      <c r="W237" s="27"/>
    </row>
    <row r="238" spans="5:23" x14ac:dyDescent="0.3">
      <c r="E238" s="25"/>
      <c r="F238" s="25"/>
      <c r="H238" s="25"/>
      <c r="I238" s="25"/>
      <c r="J238" s="25"/>
      <c r="K238" s="25"/>
      <c r="L238" s="25"/>
      <c r="M238" s="25"/>
      <c r="N238" s="25"/>
      <c r="P238" s="27"/>
      <c r="Q238" s="27"/>
      <c r="R238" s="27"/>
      <c r="S238" s="27"/>
      <c r="U238" s="27"/>
      <c r="V238" s="27"/>
      <c r="W238" s="27"/>
    </row>
    <row r="239" spans="5:23" x14ac:dyDescent="0.3">
      <c r="E239" s="25"/>
      <c r="F239" s="25"/>
      <c r="H239" s="25"/>
      <c r="I239" s="25"/>
      <c r="J239" s="25"/>
      <c r="K239" s="25"/>
      <c r="L239" s="25"/>
      <c r="M239" s="25"/>
      <c r="N239" s="25"/>
      <c r="P239" s="27"/>
      <c r="Q239" s="27"/>
      <c r="R239" s="27"/>
      <c r="S239" s="27"/>
      <c r="U239" s="27"/>
      <c r="V239" s="27"/>
      <c r="W239" s="27"/>
    </row>
    <row r="240" spans="5:23" x14ac:dyDescent="0.3">
      <c r="E240" s="25"/>
      <c r="F240" s="25"/>
      <c r="H240" s="25"/>
      <c r="I240" s="25"/>
      <c r="J240" s="25"/>
      <c r="K240" s="25"/>
      <c r="L240" s="25"/>
      <c r="M240" s="25"/>
      <c r="N240" s="25"/>
      <c r="P240" s="27"/>
      <c r="Q240" s="27"/>
      <c r="R240" s="27"/>
      <c r="S240" s="27"/>
      <c r="U240" s="27"/>
      <c r="V240" s="27"/>
      <c r="W240" s="27"/>
    </row>
    <row r="241" spans="5:23" x14ac:dyDescent="0.3">
      <c r="E241" s="25"/>
      <c r="F241" s="25"/>
      <c r="H241" s="25"/>
      <c r="I241" s="25"/>
      <c r="J241" s="25"/>
      <c r="K241" s="25"/>
      <c r="L241" s="25"/>
      <c r="M241" s="25"/>
      <c r="N241" s="25"/>
      <c r="P241" s="27"/>
      <c r="Q241" s="27"/>
      <c r="R241" s="27"/>
      <c r="S241" s="27"/>
      <c r="U241" s="27"/>
      <c r="V241" s="27"/>
      <c r="W241" s="27"/>
    </row>
    <row r="242" spans="5:23" x14ac:dyDescent="0.3">
      <c r="E242" s="25"/>
      <c r="F242" s="25"/>
      <c r="H242" s="25"/>
      <c r="I242" s="25"/>
      <c r="J242" s="25"/>
      <c r="K242" s="25"/>
      <c r="L242" s="25"/>
      <c r="M242" s="25"/>
      <c r="N242" s="25"/>
      <c r="P242" s="27"/>
      <c r="Q242" s="27"/>
      <c r="R242" s="27"/>
      <c r="S242" s="27"/>
      <c r="U242" s="27"/>
      <c r="V242" s="27"/>
      <c r="W242" s="27"/>
    </row>
    <row r="243" spans="5:23" x14ac:dyDescent="0.3">
      <c r="E243" s="25"/>
      <c r="F243" s="25"/>
      <c r="H243" s="25"/>
      <c r="I243" s="25"/>
      <c r="J243" s="25"/>
      <c r="K243" s="25"/>
      <c r="L243" s="25"/>
      <c r="M243" s="25"/>
      <c r="N243" s="25"/>
      <c r="P243" s="27"/>
      <c r="Q243" s="27"/>
      <c r="R243" s="27"/>
      <c r="S243" s="27"/>
      <c r="U243" s="27"/>
      <c r="V243" s="27"/>
      <c r="W243" s="27"/>
    </row>
    <row r="244" spans="5:23" x14ac:dyDescent="0.3">
      <c r="E244" s="25"/>
      <c r="F244" s="25"/>
      <c r="H244" s="25"/>
      <c r="I244" s="25"/>
      <c r="J244" s="25"/>
      <c r="K244" s="25"/>
      <c r="L244" s="25"/>
      <c r="M244" s="25"/>
      <c r="N244" s="25"/>
      <c r="P244" s="27"/>
      <c r="Q244" s="27"/>
      <c r="R244" s="27"/>
      <c r="S244" s="27"/>
      <c r="U244" s="27"/>
      <c r="V244" s="27"/>
      <c r="W244" s="27"/>
    </row>
    <row r="245" spans="5:23" x14ac:dyDescent="0.3">
      <c r="E245" s="25"/>
      <c r="F245" s="25"/>
      <c r="H245" s="25"/>
      <c r="I245" s="25"/>
      <c r="J245" s="25"/>
      <c r="K245" s="25"/>
      <c r="L245" s="25"/>
      <c r="M245" s="25"/>
      <c r="N245" s="25"/>
      <c r="P245" s="27"/>
      <c r="Q245" s="27"/>
      <c r="R245" s="27"/>
      <c r="S245" s="27"/>
      <c r="U245" s="27"/>
      <c r="V245" s="27"/>
      <c r="W245" s="27"/>
    </row>
    <row r="246" spans="5:23" x14ac:dyDescent="0.3">
      <c r="E246" s="25"/>
      <c r="F246" s="25"/>
      <c r="H246" s="25"/>
      <c r="I246" s="25"/>
      <c r="J246" s="25"/>
      <c r="K246" s="25"/>
      <c r="L246" s="25"/>
      <c r="M246" s="25"/>
      <c r="N246" s="25"/>
      <c r="P246" s="27"/>
      <c r="Q246" s="27"/>
      <c r="R246" s="27"/>
      <c r="S246" s="27"/>
      <c r="U246" s="27"/>
      <c r="V246" s="27"/>
      <c r="W246" s="27"/>
    </row>
    <row r="247" spans="5:23" x14ac:dyDescent="0.3">
      <c r="E247" s="25"/>
      <c r="F247" s="25"/>
      <c r="H247" s="25"/>
      <c r="I247" s="25"/>
      <c r="J247" s="25"/>
      <c r="K247" s="25"/>
      <c r="L247" s="25"/>
      <c r="M247" s="25"/>
      <c r="N247" s="25"/>
      <c r="P247" s="27"/>
      <c r="Q247" s="27"/>
      <c r="R247" s="27"/>
      <c r="S247" s="27"/>
      <c r="U247" s="27"/>
      <c r="V247" s="27"/>
      <c r="W247" s="27"/>
    </row>
    <row r="248" spans="5:23" x14ac:dyDescent="0.3">
      <c r="E248" s="25"/>
      <c r="F248" s="25"/>
      <c r="H248" s="25"/>
      <c r="I248" s="25"/>
      <c r="J248" s="25"/>
      <c r="K248" s="25"/>
      <c r="L248" s="25"/>
      <c r="M248" s="25"/>
      <c r="N248" s="25"/>
      <c r="P248" s="27"/>
      <c r="Q248" s="27"/>
      <c r="R248" s="27"/>
      <c r="S248" s="27"/>
      <c r="U248" s="27"/>
      <c r="V248" s="27"/>
      <c r="W248" s="27"/>
    </row>
    <row r="249" spans="5:23" x14ac:dyDescent="0.3">
      <c r="E249" s="25"/>
      <c r="F249" s="25"/>
      <c r="H249" s="25"/>
      <c r="I249" s="25"/>
      <c r="J249" s="25"/>
      <c r="K249" s="25"/>
      <c r="L249" s="25"/>
      <c r="M249" s="25"/>
      <c r="N249" s="25"/>
      <c r="P249" s="27"/>
      <c r="Q249" s="27"/>
      <c r="R249" s="27"/>
      <c r="S249" s="27"/>
      <c r="U249" s="27"/>
      <c r="V249" s="27"/>
      <c r="W249" s="27"/>
    </row>
    <row r="250" spans="5:23" x14ac:dyDescent="0.3">
      <c r="E250" s="25"/>
      <c r="F250" s="25"/>
      <c r="H250" s="25"/>
      <c r="I250" s="25"/>
      <c r="J250" s="25"/>
      <c r="K250" s="25"/>
      <c r="L250" s="25"/>
      <c r="M250" s="25"/>
      <c r="N250" s="25"/>
      <c r="P250" s="27"/>
      <c r="Q250" s="27"/>
      <c r="R250" s="27"/>
      <c r="S250" s="27"/>
      <c r="U250" s="27"/>
      <c r="V250" s="27"/>
      <c r="W250" s="27"/>
    </row>
    <row r="251" spans="5:23" x14ac:dyDescent="0.3">
      <c r="E251" s="25"/>
      <c r="F251" s="25"/>
      <c r="H251" s="25"/>
      <c r="I251" s="25"/>
      <c r="J251" s="25"/>
      <c r="K251" s="25"/>
      <c r="L251" s="25"/>
      <c r="M251" s="25"/>
      <c r="N251" s="25"/>
      <c r="P251" s="27"/>
      <c r="Q251" s="27"/>
      <c r="R251" s="27"/>
      <c r="S251" s="27"/>
      <c r="U251" s="27"/>
      <c r="V251" s="27"/>
      <c r="W251" s="27"/>
    </row>
    <row r="252" spans="5:23" x14ac:dyDescent="0.3">
      <c r="F252" s="25"/>
      <c r="H252" s="25"/>
      <c r="I252" s="25"/>
      <c r="J252" s="25"/>
      <c r="K252" s="25"/>
      <c r="L252" s="25"/>
      <c r="M252" s="25"/>
      <c r="N252" s="25"/>
      <c r="P252" s="27"/>
      <c r="Q252" s="27"/>
      <c r="R252" s="27"/>
      <c r="S252" s="27"/>
      <c r="U252" s="27"/>
      <c r="V252" s="27"/>
      <c r="W252" s="27"/>
    </row>
    <row r="253" spans="5:23" x14ac:dyDescent="0.3">
      <c r="F253" s="25"/>
      <c r="H253" s="25"/>
      <c r="I253" s="25"/>
      <c r="J253" s="25"/>
      <c r="K253" s="25"/>
      <c r="L253" s="25"/>
      <c r="M253" s="25"/>
      <c r="N253" s="25"/>
      <c r="P253" s="27"/>
      <c r="Q253" s="27"/>
      <c r="R253" s="27"/>
      <c r="S253" s="27"/>
      <c r="U253" s="27"/>
      <c r="V253" s="27"/>
      <c r="W253" s="27"/>
    </row>
    <row r="254" spans="5:23" x14ac:dyDescent="0.3">
      <c r="F254" s="25"/>
      <c r="H254" s="25"/>
      <c r="I254" s="25"/>
      <c r="J254" s="25"/>
      <c r="K254" s="25"/>
      <c r="L254" s="25"/>
      <c r="M254" s="25"/>
      <c r="N254" s="25"/>
      <c r="P254" s="27"/>
      <c r="Q254" s="27"/>
      <c r="R254" s="27"/>
      <c r="S254" s="27"/>
      <c r="U254" s="27"/>
      <c r="V254" s="27"/>
      <c r="W254" s="27"/>
    </row>
    <row r="255" spans="5:23" x14ac:dyDescent="0.3">
      <c r="F255" s="25"/>
      <c r="H255" s="25"/>
      <c r="I255" s="25"/>
      <c r="J255" s="25"/>
      <c r="K255" s="25"/>
      <c r="L255" s="25"/>
      <c r="M255" s="25"/>
      <c r="N255" s="25"/>
      <c r="P255" s="27"/>
      <c r="Q255" s="27"/>
      <c r="R255" s="27"/>
      <c r="S255" s="27"/>
      <c r="U255" s="27"/>
      <c r="V255" s="27"/>
      <c r="W255" s="27"/>
    </row>
    <row r="256" spans="5:23" x14ac:dyDescent="0.3">
      <c r="F256" s="25"/>
      <c r="H256" s="25"/>
      <c r="I256" s="25"/>
      <c r="J256" s="25"/>
      <c r="K256" s="25"/>
      <c r="L256" s="25"/>
      <c r="M256" s="25"/>
      <c r="N256" s="25"/>
      <c r="P256" s="27"/>
      <c r="Q256" s="27"/>
      <c r="R256" s="27"/>
      <c r="S256" s="27"/>
      <c r="U256" s="27"/>
      <c r="V256" s="27"/>
      <c r="W256" s="27"/>
    </row>
    <row r="257" spans="6:23" x14ac:dyDescent="0.3">
      <c r="F257" s="25"/>
      <c r="H257" s="25"/>
      <c r="I257" s="25"/>
      <c r="J257" s="25"/>
      <c r="K257" s="25"/>
      <c r="L257" s="25"/>
      <c r="M257" s="25"/>
      <c r="N257" s="25"/>
      <c r="P257" s="27"/>
      <c r="Q257" s="27"/>
      <c r="R257" s="27"/>
      <c r="S257" s="27"/>
      <c r="U257" s="27"/>
      <c r="V257" s="27"/>
      <c r="W257" s="27"/>
    </row>
    <row r="258" spans="6:23" x14ac:dyDescent="0.3">
      <c r="F258" s="25"/>
      <c r="H258" s="25"/>
      <c r="I258" s="25"/>
      <c r="J258" s="25"/>
      <c r="K258" s="25"/>
      <c r="L258" s="25"/>
      <c r="M258" s="25"/>
      <c r="N258" s="25"/>
      <c r="P258" s="27"/>
      <c r="Q258" s="27"/>
      <c r="R258" s="27"/>
      <c r="S258" s="27"/>
      <c r="U258" s="27"/>
      <c r="V258" s="27"/>
      <c r="W258" s="27"/>
    </row>
    <row r="259" spans="6:23" x14ac:dyDescent="0.3">
      <c r="F259" s="25"/>
      <c r="H259" s="25"/>
      <c r="I259" s="25"/>
      <c r="J259" s="25"/>
      <c r="K259" s="25"/>
      <c r="L259" s="25"/>
      <c r="M259" s="25"/>
      <c r="N259" s="25"/>
      <c r="P259" s="27"/>
      <c r="Q259" s="27"/>
      <c r="R259" s="27"/>
      <c r="S259" s="27"/>
      <c r="U259" s="27"/>
      <c r="V259" s="27"/>
      <c r="W259" s="27"/>
    </row>
    <row r="260" spans="6:23" x14ac:dyDescent="0.3">
      <c r="F260" s="25"/>
      <c r="H260" s="25"/>
      <c r="I260" s="25"/>
      <c r="J260" s="25"/>
      <c r="K260" s="25"/>
      <c r="L260" s="25"/>
      <c r="M260" s="25"/>
      <c r="N260" s="25"/>
      <c r="P260" s="27"/>
      <c r="Q260" s="27"/>
      <c r="R260" s="27"/>
      <c r="S260" s="27"/>
      <c r="U260" s="27"/>
      <c r="V260" s="27"/>
      <c r="W260" s="27"/>
    </row>
    <row r="261" spans="6:23" x14ac:dyDescent="0.3">
      <c r="F261" s="25"/>
      <c r="H261" s="25"/>
      <c r="I261" s="25"/>
      <c r="J261" s="25"/>
      <c r="K261" s="25"/>
      <c r="L261" s="25"/>
      <c r="M261" s="25"/>
      <c r="N261" s="25"/>
      <c r="P261" s="27"/>
      <c r="Q261" s="27"/>
      <c r="R261" s="27"/>
      <c r="S261" s="27"/>
      <c r="U261" s="27"/>
      <c r="V261" s="27"/>
      <c r="W261" s="27"/>
    </row>
    <row r="262" spans="6:23" x14ac:dyDescent="0.3">
      <c r="F262" s="25"/>
      <c r="H262" s="25"/>
      <c r="I262" s="25"/>
      <c r="J262" s="25"/>
      <c r="K262" s="25"/>
      <c r="L262" s="25"/>
      <c r="M262" s="25"/>
      <c r="N262" s="25"/>
      <c r="P262" s="27"/>
      <c r="Q262" s="27"/>
      <c r="R262" s="27"/>
      <c r="S262" s="27"/>
      <c r="U262" s="27"/>
      <c r="V262" s="27"/>
      <c r="W262" s="27"/>
    </row>
    <row r="263" spans="6:23" x14ac:dyDescent="0.3">
      <c r="F263" s="25"/>
      <c r="H263" s="25"/>
      <c r="I263" s="25"/>
      <c r="J263" s="25"/>
      <c r="K263" s="25"/>
      <c r="L263" s="25"/>
      <c r="M263" s="25"/>
      <c r="N263" s="25"/>
      <c r="P263" s="27"/>
      <c r="Q263" s="27"/>
      <c r="R263" s="27"/>
      <c r="S263" s="27"/>
      <c r="U263" s="27"/>
      <c r="V263" s="27"/>
      <c r="W263" s="27"/>
    </row>
    <row r="264" spans="6:23" x14ac:dyDescent="0.3">
      <c r="F264" s="25"/>
      <c r="H264" s="25"/>
      <c r="I264" s="25"/>
      <c r="J264" s="25"/>
      <c r="K264" s="25"/>
      <c r="L264" s="25"/>
      <c r="M264" s="25"/>
      <c r="N264" s="25"/>
      <c r="P264" s="27"/>
      <c r="Q264" s="27"/>
      <c r="R264" s="27"/>
      <c r="S264" s="27"/>
      <c r="U264" s="27"/>
      <c r="V264" s="27"/>
      <c r="W264" s="27"/>
    </row>
    <row r="265" spans="6:23" x14ac:dyDescent="0.3">
      <c r="F265" s="25"/>
      <c r="H265" s="25"/>
      <c r="I265" s="25"/>
      <c r="J265" s="25"/>
      <c r="K265" s="25"/>
      <c r="L265" s="25"/>
      <c r="M265" s="25"/>
      <c r="N265" s="25"/>
      <c r="P265" s="27"/>
      <c r="Q265" s="27"/>
      <c r="R265" s="27"/>
      <c r="S265" s="27"/>
      <c r="U265" s="27"/>
      <c r="V265" s="27"/>
      <c r="W265" s="27"/>
    </row>
    <row r="266" spans="6:23" x14ac:dyDescent="0.3">
      <c r="F266" s="25"/>
      <c r="H266" s="25"/>
      <c r="I266" s="25"/>
      <c r="J266" s="25"/>
      <c r="K266" s="25"/>
      <c r="L266" s="25"/>
      <c r="M266" s="25"/>
      <c r="N266" s="25"/>
      <c r="P266" s="27"/>
      <c r="Q266" s="27"/>
      <c r="R266" s="27"/>
      <c r="S266" s="27"/>
      <c r="U266" s="27"/>
      <c r="V266" s="27"/>
      <c r="W266" s="27"/>
    </row>
    <row r="267" spans="6:23" x14ac:dyDescent="0.3">
      <c r="F267" s="25"/>
      <c r="H267" s="25"/>
      <c r="I267" s="25"/>
      <c r="J267" s="25"/>
      <c r="K267" s="25"/>
      <c r="L267" s="25"/>
      <c r="M267" s="25"/>
      <c r="N267" s="25"/>
      <c r="P267" s="27"/>
      <c r="Q267" s="27"/>
      <c r="R267" s="27"/>
      <c r="S267" s="27"/>
      <c r="U267" s="27"/>
      <c r="V267" s="27"/>
      <c r="W267" s="27"/>
    </row>
    <row r="268" spans="6:23" x14ac:dyDescent="0.3">
      <c r="F268" s="25"/>
      <c r="H268" s="25"/>
      <c r="I268" s="25"/>
      <c r="J268" s="25"/>
      <c r="K268" s="25"/>
      <c r="L268" s="25"/>
      <c r="M268" s="25"/>
      <c r="N268" s="25"/>
      <c r="P268" s="27"/>
      <c r="Q268" s="27"/>
      <c r="R268" s="27"/>
      <c r="S268" s="27"/>
      <c r="U268" s="27"/>
      <c r="V268" s="27"/>
      <c r="W268" s="27"/>
    </row>
    <row r="269" spans="6:23" x14ac:dyDescent="0.3">
      <c r="F269" s="25"/>
      <c r="H269" s="25"/>
      <c r="I269" s="25"/>
      <c r="J269" s="25"/>
      <c r="K269" s="25"/>
      <c r="L269" s="25"/>
      <c r="M269" s="25"/>
      <c r="N269" s="25"/>
      <c r="P269" s="27"/>
      <c r="Q269" s="27"/>
      <c r="R269" s="27"/>
      <c r="S269" s="27"/>
      <c r="U269" s="27"/>
      <c r="V269" s="27"/>
      <c r="W269" s="27"/>
    </row>
    <row r="274" spans="40:40" x14ac:dyDescent="0.3">
      <c r="AN274" s="56"/>
    </row>
  </sheetData>
  <mergeCells count="85">
    <mergeCell ref="E34:E35"/>
    <mergeCell ref="AD34:AD35"/>
    <mergeCell ref="AE34:AE35"/>
    <mergeCell ref="C30:C33"/>
    <mergeCell ref="B30:B33"/>
    <mergeCell ref="AE30:AE33"/>
    <mergeCell ref="AD30:AD33"/>
    <mergeCell ref="E30:E33"/>
    <mergeCell ref="C27:C29"/>
    <mergeCell ref="B24:B26"/>
    <mergeCell ref="B27:B29"/>
    <mergeCell ref="B34:B35"/>
    <mergeCell ref="B37:B39"/>
    <mergeCell ref="C34:C35"/>
    <mergeCell ref="C37:C39"/>
    <mergeCell ref="C24:C26"/>
    <mergeCell ref="C12:C14"/>
    <mergeCell ref="C9:C11"/>
    <mergeCell ref="B12:B14"/>
    <mergeCell ref="B15:B18"/>
    <mergeCell ref="B19:B20"/>
    <mergeCell ref="B21:B23"/>
    <mergeCell ref="B9:B11"/>
    <mergeCell ref="AO7:AO8"/>
    <mergeCell ref="AN6:AO6"/>
    <mergeCell ref="AA6:AA8"/>
    <mergeCell ref="C21:C23"/>
    <mergeCell ref="C15:C18"/>
    <mergeCell ref="C19:C20"/>
    <mergeCell ref="H7:H8"/>
    <mergeCell ref="B7:B8"/>
    <mergeCell ref="K7:K8"/>
    <mergeCell ref="Y6:Z6"/>
    <mergeCell ref="U6:W6"/>
    <mergeCell ref="AC7:AC8"/>
    <mergeCell ref="AB6:AB8"/>
    <mergeCell ref="X6:X8"/>
    <mergeCell ref="AP6:AP8"/>
    <mergeCell ref="AG6:AH6"/>
    <mergeCell ref="AG8:AG9"/>
    <mergeCell ref="AH8:AH9"/>
    <mergeCell ref="AD7:AD8"/>
    <mergeCell ref="AC6:AE6"/>
    <mergeCell ref="AE7:AE8"/>
    <mergeCell ref="AN7:AN8"/>
    <mergeCell ref="T6:T8"/>
    <mergeCell ref="P6:S6"/>
    <mergeCell ref="N5:O6"/>
    <mergeCell ref="O7:O8"/>
    <mergeCell ref="C7:C8"/>
    <mergeCell ref="M7:M8"/>
    <mergeCell ref="I7:I8"/>
    <mergeCell ref="J7:J8"/>
    <mergeCell ref="P5:AE5"/>
    <mergeCell ref="B5:M6"/>
    <mergeCell ref="L7:L8"/>
    <mergeCell ref="N7:N8"/>
    <mergeCell ref="D7:D8"/>
    <mergeCell ref="E7:E8"/>
    <mergeCell ref="F7:F8"/>
    <mergeCell ref="G7:G8"/>
    <mergeCell ref="E37:E39"/>
    <mergeCell ref="AD37:AD39"/>
    <mergeCell ref="AE37:AE39"/>
    <mergeCell ref="E12:E14"/>
    <mergeCell ref="AD12:AD14"/>
    <mergeCell ref="AE12:AE14"/>
    <mergeCell ref="E15:E18"/>
    <mergeCell ref="AD15:AD18"/>
    <mergeCell ref="AE15:AE18"/>
    <mergeCell ref="E19:E20"/>
    <mergeCell ref="AD19:AD20"/>
    <mergeCell ref="AE19:AE20"/>
    <mergeCell ref="E21:E23"/>
    <mergeCell ref="AD21:AD23"/>
    <mergeCell ref="AE21:AE23"/>
    <mergeCell ref="AD24:AD26"/>
    <mergeCell ref="E9:E11"/>
    <mergeCell ref="AD9:AD11"/>
    <mergeCell ref="AE9:AE11"/>
    <mergeCell ref="E27:E29"/>
    <mergeCell ref="AD27:AD29"/>
    <mergeCell ref="AE27:AE29"/>
    <mergeCell ref="E24:E26"/>
    <mergeCell ref="AE24:AE26"/>
  </mergeCells>
  <conditionalFormatting sqref="T9:T41">
    <cfRule type="expression" dxfId="43" priority="50">
      <formula>IF(OR(AND(Q9="",OR(R9="X",S9="X")),AND($R9="",$S9="X")),TRUE,FALSE)</formula>
    </cfRule>
    <cfRule type="expression" dxfId="42" priority="52">
      <formula>IF(AND(NOT(ISBLANK($P9)),OR(NOT(ISBLANK($Q9)),NOT(ISBLANK($R9)),NOT(ISBLANK($S9)))),T9=0,FALSE)</formula>
    </cfRule>
  </conditionalFormatting>
  <conditionalFormatting sqref="X9:X41 X270:X1048563">
    <cfRule type="expression" dxfId="41" priority="1013" stopIfTrue="1">
      <formula>COUNTA(U9:W9)&gt;1</formula>
    </cfRule>
  </conditionalFormatting>
  <conditionalFormatting sqref="X1048564:X1048576">
    <cfRule type="expression" dxfId="40" priority="12061" stopIfTrue="1">
      <formula>COUNTA(U1048564:W1048565)&gt;1</formula>
    </cfRule>
  </conditionalFormatting>
  <conditionalFormatting sqref="AB9:AB41 AB270:AB1048563">
    <cfRule type="expression" dxfId="39" priority="1012" stopIfTrue="1">
      <formula>COUNTA(Y9:Z9)=2</formula>
    </cfRule>
  </conditionalFormatting>
  <conditionalFormatting sqref="AB9:AB41">
    <cfRule type="cellIs" dxfId="38" priority="3" stopIfTrue="1" operator="greaterThan">
      <formula>60</formula>
    </cfRule>
  </conditionalFormatting>
  <conditionalFormatting sqref="AB1048564:AB1048576">
    <cfRule type="expression" dxfId="37" priority="12065" stopIfTrue="1">
      <formula>COUNTA(Y1048564:Z1048565)=2</formula>
    </cfRule>
  </conditionalFormatting>
  <dataValidations count="26">
    <dataValidation allowBlank="1" showInputMessage="1" showErrorMessage="1" prompt="Es uno de los criterios de calificación de los CONTROLES, tiene un peso de 10 puntos sobre un total de 100." sqref="P6"/>
    <dataValidation allowBlank="1" showInputMessage="1" showErrorMessage="1" prompt="Es un elemento del criterio de FORMALIDAD, coloque una X, si el control  no se encuentra documentado en la caracterización de su proceso, en los  procedimientos o en cualquier otro documento de la Empresa." sqref="P7"/>
    <dataValidation allowBlank="1" showInputMessage="1" showErrorMessage="1" prompt="Es un elemento del criterio de FORMALIDAD, coloque una X, si el control ha sido suficientemente divulgado a todo el equipo de trabajo y en especial a quienes deben ejecutarlo." sqref="S7"/>
    <dataValidation allowBlank="1" showInputMessage="1" showErrorMessage="1" prompt="Es un criterio de FORMALIDAD, coloque una X si el control se encuentra aprobado." sqref="R7"/>
    <dataValidation allowBlank="1" showInputMessage="1" showErrorMessage="1" prompt="Es un elemento del criterio de FORMALIDAD; coloque una X, si el control se encuentra documentado en la caracterización de su proceso, en los  procedimientos, o en cualquier otro documento de la Empresa." sqref="Q7"/>
    <dataValidation allowBlank="1" showInputMessage="1" showErrorMessage="1" prompt="Marque con una X, si usted tiene evidencia documentada de la NO efectividad del control frente a la mitigación del riesgo." sqref="Z7"/>
    <dataValidation allowBlank="1" showInputMessage="1" showErrorMessage="1" prompt="Marque una X, si tiene evidencia documentada de la efectividad del control en la mitigación del riesgo._x000a_SOLO PUEDE  MARCAR UNA X  PARA TODO EL CRITERIO" sqref="Y7"/>
    <dataValidation allowBlank="1" showInputMessage="1" showErrorMessage="1" prompt="Es uno de los criterios de calificación de los controles, tiene un peso de 60 puntos de 100." sqref="Y6"/>
    <dataValidation allowBlank="1" showInputMessage="1" showErrorMessage="1" prompt="Marque X, si el control es aplicado siempre por el responsable." sqref="W7"/>
    <dataValidation allowBlank="1" showInputMessage="1" showErrorMessage="1" prompt="Marque una X, si el control se aplica unas veces SI y otras NO, dependiendo de la subjetividad del responsable de su ejecución" sqref="V7"/>
    <dataValidation allowBlank="1" showInputMessage="1" showErrorMessage="1" prompt="Maque una X, si el control no se aplica nunca" sqref="U7"/>
    <dataValidation allowBlank="1" showInputMessage="1" showErrorMessage="1" prompt="Es uno de los criterios de Calificación de los controles, tiene un peso de 20 puntos sobre 100" sqref="U6"/>
    <dataValidation allowBlank="1" showInputMessage="1" showErrorMessage="1" prompt="Calcula el valor del criterio de aplicación._x000a_solo puede marcarse una X, en alguno de los elementos." sqref="X6"/>
    <dataValidation allowBlank="1" showInputMessage="1" showErrorMessage="1" prompt="Adicione la información que permita un mayor entendimiento de la comprobación de la efectividad del control implementado (hallazgos, cambios en el criterio del riesgo, etc.)" sqref="AA6:AA8"/>
    <dataValidation allowBlank="1" showInputMessage="1" showErrorMessage="1" prompt="Describa el objetivo del control. Si más de un control atiende el mismo riesgo pueden compartir el mismo objetivo." sqref="E7:E8"/>
    <dataValidation allowBlank="1" showInputMessage="1" showErrorMessage="1" prompt="Enumere y describa las acciones necesarias para implementar el control." sqref="N7:N8"/>
    <dataValidation allowBlank="1" showInputMessage="1" showErrorMessage="1" prompt="Defina el estado de cada una de las acciones númeradas:_x000a_Planeada_x000a_En ejecución_x000a_Terminada" sqref="O7:O8"/>
    <dataValidation allowBlank="1" showInputMessage="1" showErrorMessage="1" prompt="Calcula la valoración de los criterios evaluados en el control._x000a_Mayor 91: EXCELENTE_x000a_Entre 61 a 90: BUENA_x000a_Entre 20 a 60: BAJA_x000a_Entre 0 a 19: CRITICA" sqref="AC6:AE6"/>
    <dataValidation allowBlank="1" showInputMessage="1" showErrorMessage="1" prompt="Describa las actividades de control o controles que se ejecutan en su proceso para mitigar el riesgo, ya sean para prevenir el riesgo, detectarlo o una vez materializados mitigar el nivel de impacto" sqref="D7:D8"/>
    <dataValidation allowBlank="1" showInputMessage="1" showErrorMessage="1" prompt="Calcula el la calificación del criterio de FORMALIDAD, _x000a_10: Si cumple con todos los elementos_x000a_7: Si esta Documentado y Aprobado pero no Divulgado_x000a_3: Si solo se encuentra Documentado_x000a_Si no esta Documentado no podria ser aprobado ni divulgado" sqref="T6:T8"/>
    <dataValidation type="list" showInputMessage="1" showErrorMessage="1" sqref="AL14:AL19 F9:F41">
      <formula1>"Actividades de control, Políticas, Procedimientos, Plan/Programa,Políticas/procedimientos"</formula1>
    </dataValidation>
    <dataValidation type="list" allowBlank="1" showInputMessage="1" showErrorMessage="1" sqref="H9:H41">
      <formula1>"Continuo, Diario, Semanal, Mensual, Semestral, Anual, Cada vez que se requiera, Trimestral"</formula1>
    </dataValidation>
    <dataValidation type="list" allowBlank="1" showInputMessage="1" showErrorMessage="1" sqref="P9:S41 U9:W1048576 Y9:Z1048576">
      <formula1>"X"</formula1>
    </dataValidation>
    <dataValidation type="list" allowBlank="1" showInputMessage="1" showErrorMessage="1" sqref="I9:I41">
      <formula1>$AL$9:$AL$10</formula1>
    </dataValidation>
    <dataValidation type="list" allowBlank="1" showInputMessage="1" showErrorMessage="1" sqref="H9:H41">
      <formula1>$AJ$9:$AJ$16</formula1>
    </dataValidation>
    <dataValidation type="list" allowBlank="1" showInputMessage="1" showErrorMessage="1" sqref="G9:G1048576">
      <formula1>$AR$9:$AR$10</formula1>
    </dataValidation>
  </dataValidations>
  <pageMargins left="0.7" right="0.7" top="0.75" bottom="0.75" header="0.3" footer="0.3"/>
  <pageSetup orientation="portrait" r:id="rId1"/>
  <headerFooter scaleWithDoc="0" alignWithMargins="0"/>
  <drawing r:id="rId2"/>
  <extLst>
    <ext xmlns:x14="http://schemas.microsoft.com/office/spreadsheetml/2009/9/main" uri="{78C0D931-6437-407d-A8EE-F0AAD7539E65}">
      <x14:conditionalFormattings>
        <x14:conditionalFormatting xmlns:xm="http://schemas.microsoft.com/office/excel/2006/main">
          <x14:cfRule type="iconSet" priority="12310" id="{00000000-000E-0000-0500-000049000000}">
            <x14:iconSet iconSet="4TrafficLights" custom="1">
              <x14:cfvo type="percent">
                <xm:f>0</xm:f>
              </x14:cfvo>
              <x14:cfvo type="num">
                <xm:f>20</xm:f>
              </x14:cfvo>
              <x14:cfvo type="num">
                <xm:f>40</xm:f>
              </x14:cfvo>
              <x14:cfvo type="num">
                <xm:f>91</xm:f>
              </x14:cfvo>
              <x14:cfIcon iconSet="3TrafficLights1" iconId="0"/>
              <x14:cfIcon iconSet="3TrafficLights1" iconId="1"/>
              <x14:cfIcon iconSet="4RedToBlack" iconId="2"/>
              <x14:cfIcon iconSet="3TrafficLights1" iconId="2"/>
            </x14:iconSet>
          </x14:cfRule>
          <xm:sqref>AC9:AD9 AD10 AD34:AD40 AC10:AC41 AD12:AD30</xm:sqref>
        </x14:conditionalFormatting>
        <x14:conditionalFormatting xmlns:xm="http://schemas.microsoft.com/office/excel/2006/main">
          <x14:cfRule type="iconSet" priority="12309" id="{08AA9B19-CC2D-4500-9E49-02C2FD50EA1E}">
            <x14:iconSet iconSet="4TrafficLights" custom="1">
              <x14:cfvo type="percent">
                <xm:f>0</xm:f>
              </x14:cfvo>
              <x14:cfvo type="num">
                <xm:f>20</xm:f>
              </x14:cfvo>
              <x14:cfvo type="num">
                <xm:f>40</xm:f>
              </x14:cfvo>
              <x14:cfvo type="num">
                <xm:f>91</xm:f>
              </x14:cfvo>
              <x14:cfIcon iconSet="3TrafficLights1" iconId="0"/>
              <x14:cfIcon iconSet="3TrafficLights1" iconId="1"/>
              <x14:cfIcon iconSet="4RedToBlack" iconId="2"/>
              <x14:cfIcon iconSet="3TrafficLights1" iconId="2"/>
            </x14:iconSet>
          </x14:cfRule>
          <xm:sqref>AD41</xm:sqref>
        </x14:conditionalFormatting>
        <x14:conditionalFormatting xmlns:xm="http://schemas.microsoft.com/office/excel/2006/main">
          <x14:cfRule type="iconSet" priority="12142" id="{00000000-000E-0000-0500-000060000000}">
            <x14:iconSet iconSet="4TrafficLights" custom="1">
              <x14:cfvo type="percent">
                <xm:f>0</xm:f>
              </x14:cfvo>
              <x14:cfvo type="num">
                <xm:f>20</xm:f>
              </x14:cfvo>
              <x14:cfvo type="num">
                <xm:f>61</xm:f>
              </x14:cfvo>
              <x14:cfvo type="num">
                <xm:f>91</xm:f>
              </x14:cfvo>
              <x14:cfIcon iconSet="3TrafficLights1" iconId="0"/>
              <x14:cfIcon iconSet="3TrafficLights1" iconId="1"/>
              <x14:cfIcon iconSet="4RedToBlack" iconId="2"/>
              <x14:cfIcon iconSet="3TrafficLights1" iconId="2"/>
            </x14:iconSet>
          </x14:cfRule>
          <xm:sqref>AE40 AE36:AE37 AE9 AE12 AE15 AE19 AE21 AE24 AE27 AE30 AE34</xm:sqref>
        </x14:conditionalFormatting>
        <x14:conditionalFormatting xmlns:xm="http://schemas.microsoft.com/office/excel/2006/main">
          <x14:cfRule type="iconSet" priority="6" id="{E3E3878F-D5E6-42F0-B208-9531229676BC}">
            <x14:iconSet iconSet="4TrafficLights" custom="1">
              <x14:cfvo type="percent">
                <xm:f>0</xm:f>
              </x14:cfvo>
              <x14:cfvo type="num">
                <xm:f>20</xm:f>
              </x14:cfvo>
              <x14:cfvo type="num">
                <xm:f>61</xm:f>
              </x14:cfvo>
              <x14:cfvo type="num">
                <xm:f>91</xm:f>
              </x14:cfvo>
              <x14:cfIcon iconSet="3TrafficLights1" iconId="0"/>
              <x14:cfIcon iconSet="3TrafficLights1" iconId="1"/>
              <x14:cfIcon iconSet="4RedToBlack" iconId="2"/>
              <x14:cfIcon iconSet="3TrafficLights1" iconId="2"/>
            </x14:iconSet>
          </x14:cfRule>
          <xm:sqref>AE41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Tablas1!$B$39:$B$41</xm:f>
          </x14:formula1>
          <xm:sqref>O27:O28 O33:O41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AF34"/>
  <sheetViews>
    <sheetView showGridLines="0" zoomScale="85" zoomScaleNormal="85" workbookViewId="0">
      <selection activeCell="T9" sqref="T9"/>
    </sheetView>
  </sheetViews>
  <sheetFormatPr baseColWidth="10" defaultColWidth="11.54296875" defaultRowHeight="14.5" x14ac:dyDescent="0.35"/>
  <cols>
    <col min="1" max="1" width="2.1796875" customWidth="1"/>
    <col min="2" max="2" width="11.26953125" style="50"/>
    <col min="3" max="4" width="18.54296875" style="50" customWidth="1"/>
    <col min="5" max="5" width="22.81640625" style="50" customWidth="1"/>
    <col min="6" max="6" width="16.81640625" style="54" customWidth="1"/>
    <col min="7" max="7" width="16.26953125" style="54" customWidth="1"/>
    <col min="8" max="8" width="15.26953125" style="54" customWidth="1"/>
    <col min="9" max="9" width="60.26953125" style="54" customWidth="1"/>
    <col min="10" max="10" width="17.81640625" style="54" hidden="1" customWidth="1"/>
    <col min="11" max="19" width="19.54296875" style="54" hidden="1" customWidth="1"/>
    <col min="20" max="20" width="20.54296875" style="54" customWidth="1"/>
    <col min="21" max="21" width="21.1796875" style="54" bestFit="1" customWidth="1"/>
    <col min="22" max="23" width="19.26953125" style="54" customWidth="1"/>
    <col min="24" max="24" width="23.26953125" customWidth="1"/>
    <col min="25" max="25" width="30.26953125" style="18" customWidth="1"/>
    <col min="26" max="26" width="15.1796875" customWidth="1"/>
    <col min="27" max="27" width="14.81640625" customWidth="1"/>
    <col min="29" max="29" width="29" customWidth="1"/>
    <col min="30" max="30" width="23.453125" customWidth="1"/>
    <col min="31" max="31" width="24.1796875" customWidth="1"/>
  </cols>
  <sheetData>
    <row r="1" spans="2:32" x14ac:dyDescent="0.35">
      <c r="Y1" s="31"/>
      <c r="Z1" s="15"/>
      <c r="AA1" s="15"/>
      <c r="AB1" s="15"/>
      <c r="AC1" s="15"/>
      <c r="AD1" s="15"/>
      <c r="AE1" s="15"/>
      <c r="AF1" s="24"/>
    </row>
    <row r="2" spans="2:32" x14ac:dyDescent="0.35">
      <c r="AB2" s="22"/>
      <c r="AC2" s="18" t="s">
        <v>545</v>
      </c>
      <c r="AD2" s="18" t="s">
        <v>546</v>
      </c>
      <c r="AE2" s="18" t="s">
        <v>547</v>
      </c>
      <c r="AF2" s="24"/>
    </row>
    <row r="3" spans="2:32" ht="22.5" customHeight="1" x14ac:dyDescent="0.35">
      <c r="AB3" s="23"/>
      <c r="AC3" s="18" t="s">
        <v>204</v>
      </c>
      <c r="AD3" s="119">
        <f>AVERAGE(T9:T1048576)</f>
        <v>1.5692307692307692</v>
      </c>
      <c r="AE3" s="119">
        <f>AVERAGE(U9:U1048576)</f>
        <v>1.6153846153846154</v>
      </c>
      <c r="AF3" s="24"/>
    </row>
    <row r="4" spans="2:32" ht="15.75" customHeight="1" x14ac:dyDescent="0.35">
      <c r="AB4" s="23"/>
      <c r="AF4" s="24"/>
    </row>
    <row r="5" spans="2:32" ht="14.25" customHeight="1" x14ac:dyDescent="0.35">
      <c r="B5" s="238" t="s">
        <v>548</v>
      </c>
      <c r="C5" s="238"/>
      <c r="D5" s="238"/>
      <c r="E5" s="238"/>
      <c r="F5" s="238"/>
      <c r="G5" s="238"/>
      <c r="H5" s="238"/>
      <c r="I5" s="238"/>
      <c r="J5" s="238" t="s">
        <v>549</v>
      </c>
      <c r="K5" s="238" t="s">
        <v>550</v>
      </c>
      <c r="L5" s="244" t="s">
        <v>551</v>
      </c>
      <c r="M5" s="245"/>
      <c r="N5" s="245"/>
      <c r="O5" s="246"/>
      <c r="P5" s="244" t="s">
        <v>552</v>
      </c>
      <c r="Q5" s="245"/>
      <c r="R5" s="245"/>
      <c r="S5" s="246"/>
      <c r="T5" s="239" t="s">
        <v>553</v>
      </c>
      <c r="U5" s="237" t="s">
        <v>554</v>
      </c>
      <c r="V5" s="238" t="s">
        <v>555</v>
      </c>
      <c r="W5" s="238"/>
      <c r="X5" s="237" t="s">
        <v>556</v>
      </c>
      <c r="AB5" s="23"/>
      <c r="AF5" s="24"/>
    </row>
    <row r="6" spans="2:32" ht="18" customHeight="1" x14ac:dyDescent="0.35">
      <c r="B6" s="238"/>
      <c r="C6" s="238"/>
      <c r="D6" s="238"/>
      <c r="E6" s="238"/>
      <c r="F6" s="238"/>
      <c r="G6" s="238"/>
      <c r="H6" s="238"/>
      <c r="I6" s="238"/>
      <c r="J6" s="238"/>
      <c r="K6" s="238"/>
      <c r="L6" s="247"/>
      <c r="M6" s="248"/>
      <c r="N6" s="248"/>
      <c r="O6" s="249"/>
      <c r="P6" s="247"/>
      <c r="Q6" s="248"/>
      <c r="R6" s="248"/>
      <c r="S6" s="249"/>
      <c r="T6" s="240"/>
      <c r="U6" s="237"/>
      <c r="V6" s="238"/>
      <c r="W6" s="238"/>
      <c r="X6" s="237"/>
      <c r="AB6" s="23"/>
      <c r="AF6" s="24"/>
    </row>
    <row r="7" spans="2:32" ht="9" customHeight="1" x14ac:dyDescent="0.35">
      <c r="B7" s="238"/>
      <c r="C7" s="238"/>
      <c r="D7" s="238"/>
      <c r="E7" s="238"/>
      <c r="F7" s="238"/>
      <c r="G7" s="238"/>
      <c r="H7" s="238"/>
      <c r="I7" s="238"/>
      <c r="J7" s="238"/>
      <c r="K7" s="238"/>
      <c r="L7" s="242" t="s">
        <v>82</v>
      </c>
      <c r="M7" s="242" t="s">
        <v>84</v>
      </c>
      <c r="N7" s="242" t="s">
        <v>86</v>
      </c>
      <c r="O7" s="242" t="s">
        <v>88</v>
      </c>
      <c r="P7" s="242" t="s">
        <v>82</v>
      </c>
      <c r="Q7" s="242" t="s">
        <v>84</v>
      </c>
      <c r="R7" s="242" t="s">
        <v>86</v>
      </c>
      <c r="S7" s="242" t="s">
        <v>88</v>
      </c>
      <c r="T7" s="240"/>
      <c r="U7" s="237"/>
      <c r="V7" s="238" t="s">
        <v>555</v>
      </c>
      <c r="W7" s="238" t="s">
        <v>147</v>
      </c>
      <c r="X7" s="237"/>
      <c r="AB7" s="15"/>
      <c r="AC7" s="15"/>
      <c r="AD7" s="15"/>
      <c r="AE7" s="15"/>
      <c r="AF7" s="24"/>
    </row>
    <row r="8" spans="2:32" ht="41.25" customHeight="1" x14ac:dyDescent="0.35">
      <c r="B8" s="113" t="s">
        <v>557</v>
      </c>
      <c r="C8" s="113" t="s">
        <v>558</v>
      </c>
      <c r="D8" s="113" t="s">
        <v>3</v>
      </c>
      <c r="E8" s="113" t="s">
        <v>559</v>
      </c>
      <c r="F8" s="113" t="s">
        <v>560</v>
      </c>
      <c r="G8" s="113" t="s">
        <v>561</v>
      </c>
      <c r="H8" s="113" t="s">
        <v>562</v>
      </c>
      <c r="I8" s="113" t="s">
        <v>177</v>
      </c>
      <c r="J8" s="238"/>
      <c r="K8" s="238"/>
      <c r="L8" s="243"/>
      <c r="M8" s="243"/>
      <c r="N8" s="243"/>
      <c r="O8" s="243"/>
      <c r="P8" s="243"/>
      <c r="Q8" s="243"/>
      <c r="R8" s="243"/>
      <c r="S8" s="243"/>
      <c r="T8" s="241"/>
      <c r="U8" s="237"/>
      <c r="V8" s="238"/>
      <c r="W8" s="238"/>
      <c r="X8" s="237" t="s">
        <v>556</v>
      </c>
      <c r="AB8" s="24"/>
      <c r="AC8" s="24"/>
      <c r="AD8" s="24"/>
      <c r="AE8" s="24"/>
      <c r="AF8" s="24"/>
    </row>
    <row r="9" spans="2:32" ht="56.25" customHeight="1" x14ac:dyDescent="0.35">
      <c r="B9" s="89">
        <f>ROW(A9)-8</f>
        <v>1</v>
      </c>
      <c r="C9" s="89" t="str">
        <f>'R I'!C7</f>
        <v>Gestión Documental y Atención de Servicio al Cliente</v>
      </c>
      <c r="D9" s="89" t="str">
        <f>'R I'!D7</f>
        <v>Atención a Solicitudes, Peticiones, Quejas y Reclamos y Administración de Comunicaciones Recibidas Oficiales</v>
      </c>
      <c r="E9" s="71" t="str">
        <f>IFERROR(VLOOKUP(B9,'R I'!$E$7:$G$28,3,0)," ")</f>
        <v>Productos y/o servicios</v>
      </c>
      <c r="F9" s="89" t="str">
        <f t="shared" ref="F9:F21" si="0">VLOOKUP(B9,codr,3,FALSE)</f>
        <v>Productos y/o servicios</v>
      </c>
      <c r="G9" s="89" t="str">
        <f>VLOOKUP(B9,codr,4,FALSE)</f>
        <v>LAFT21</v>
      </c>
      <c r="H9" s="89" t="str">
        <f t="shared" ref="H9:H21" si="1">VLOOKUP(B9,ctrl,30,0)</f>
        <v>EXCELENTE</v>
      </c>
      <c r="I9" s="89" t="str">
        <f t="shared" ref="I9:I21" si="2">VLOOKUP(B9,codr,6,0)</f>
        <v>Posibilidad de entregar información incompleta o errónea al área encargada de responder un requerimiento sobre LA/FT/FPADM realizado por un ente de control. (sobre todas las contrapartes)</v>
      </c>
      <c r="J9" s="125">
        <f t="shared" ref="J9:J21" si="3">VLOOKUP($B9,codr,13,0)</f>
        <v>2</v>
      </c>
      <c r="K9" s="125">
        <f t="shared" ref="K9:K21" si="4">VLOOKUP($B9,codr,23,0)</f>
        <v>4.666666666666667</v>
      </c>
      <c r="L9" s="125">
        <f>'R I'!W7</f>
        <v>1</v>
      </c>
      <c r="M9" s="125">
        <f>'R I'!X7</f>
        <v>5</v>
      </c>
      <c r="N9" s="125">
        <f>'R I'!Y7</f>
        <v>4</v>
      </c>
      <c r="O9" s="125">
        <f>'R I'!Z7</f>
        <v>5</v>
      </c>
      <c r="P9" s="126">
        <f>IFERROR(L9*LOOKUP($H9,Controles!$AT$9:$AT$12,Controles!$AU$9:$AU$12),0)</f>
        <v>0.2</v>
      </c>
      <c r="Q9" s="126">
        <f>IFERROR(M9*LOOKUP($H9,Controles!$AT$9:$AT$12,Controles!$AU$9:$AU$12),0)</f>
        <v>1</v>
      </c>
      <c r="R9" s="126">
        <f>IFERROR(N9*LOOKUP($H9,Controles!$AT$9:$AT$12,Controles!$AU$9:$AU$12),0)</f>
        <v>0.8</v>
      </c>
      <c r="S9" s="126">
        <f>IFERROR(O9*LOOKUP($H9,Controles!$AT$9:$AT$12,Controles!$AU$9:$AU$12),0)</f>
        <v>1</v>
      </c>
      <c r="T9" s="114">
        <f>(IF(H9="CRITICA",J9,IF(H9="BAJA",J9*90%,IF(H9="BUENA",J9*50%,IF(H9="EXCELENTE",J9*20%,0)))))</f>
        <v>0.4</v>
      </c>
      <c r="U9" s="114">
        <f>IFERROR(ROUND(K9*LOOKUP(H9,Controles!$AT$9:$AT$12,Controles!$AU$9:$AU$12),0),0)</f>
        <v>1</v>
      </c>
      <c r="V9" s="115">
        <f t="shared" ref="V9:V21" si="5">T9*U9</f>
        <v>0.4</v>
      </c>
      <c r="W9" s="116" t="str">
        <f t="shared" ref="W9:W21" si="6">IF(AND(V9&gt;0,V9&lt;8),"BAJO",IF(AND(V9&gt;=8,V9&lt;14),"MEDIO",IF(AND(V9&gt;=14,V9&lt;20),"ALTO",IF(AND(V9&gt;=20,V9&lt;26),"EXTREMO",""))))</f>
        <v>BAJO</v>
      </c>
      <c r="X9" s="114" t="str">
        <f t="shared" ref="X9:X21" si="7">IFERROR(IF(VLOOKUP(W9,RIEGO,2,FALSE)=0,"",VLOOKUP(W9,RIEGO,2,FALSE)),"")</f>
        <v>Tratar</v>
      </c>
    </row>
    <row r="10" spans="2:32" ht="101.5" x14ac:dyDescent="0.35">
      <c r="B10" s="89">
        <f t="shared" ref="B10:B21" si="8">ROW(A10)-8</f>
        <v>2</v>
      </c>
      <c r="C10" s="89" t="str">
        <f>'R I'!C8</f>
        <v>Transversal a Todas las Áreas y/o Unidades</v>
      </c>
      <c r="D10" s="89" t="str">
        <f>'R I'!D8</f>
        <v>Contratación por Invitación Abierta, Directa, Privada, Licitación Pública, entre otras modalidades de contratación</v>
      </c>
      <c r="E10" s="71" t="str">
        <f>IFERROR(VLOOKUP(B10,'R I'!$E$7:$G$28,3,0)," ")</f>
        <v>Contrapartes</v>
      </c>
      <c r="F10" s="89" t="str">
        <f t="shared" si="0"/>
        <v>Contrapartes</v>
      </c>
      <c r="G10" s="89" t="str">
        <f t="shared" ref="G10:G21" si="9">VLOOKUP(B10,codr,4,FALSE)</f>
        <v>LAFT18</v>
      </c>
      <c r="H10" s="89" t="str">
        <f t="shared" si="1"/>
        <v>EXCELENTE</v>
      </c>
      <c r="I10" s="89" t="str">
        <f t="shared" si="2"/>
        <v>Posibilidad de tener o mantener relaciones contractuales, legales, comerciales, alianzas o convenios con contrapartes relacionadas con delitos de LA/FT/FPADM y/o que se encuentren en listas vinculantes y de control de LA/FT/FPADM periodicas o masivas.</v>
      </c>
      <c r="J10" s="125">
        <f t="shared" si="3"/>
        <v>4</v>
      </c>
      <c r="K10" s="125">
        <f t="shared" si="4"/>
        <v>4.5</v>
      </c>
      <c r="L10" s="125">
        <f>'R I'!W8</f>
        <v>3</v>
      </c>
      <c r="M10" s="125">
        <f>'R I'!X8</f>
        <v>5</v>
      </c>
      <c r="N10" s="125">
        <f>'R I'!Y8</f>
        <v>5</v>
      </c>
      <c r="O10" s="125">
        <f>'R I'!Z8</f>
        <v>5</v>
      </c>
      <c r="P10" s="126">
        <f>IFERROR(L10*LOOKUP($H10,Controles!$AT$9:$AT$12,Controles!$AU$9:$AU$12),0)</f>
        <v>0.60000000000000009</v>
      </c>
      <c r="Q10" s="126">
        <f>IFERROR(M10*LOOKUP($H10,Controles!$AT$9:$AT$12,Controles!$AU$9:$AU$12),0)</f>
        <v>1</v>
      </c>
      <c r="R10" s="126">
        <f>IFERROR(N10*LOOKUP($H10,Controles!$AT$9:$AT$12,Controles!$AU$9:$AU$12),0)</f>
        <v>1</v>
      </c>
      <c r="S10" s="126">
        <f>IFERROR(O10*LOOKUP($H10,Controles!$AT$9:$AT$12,Controles!$AU$9:$AU$12),0)</f>
        <v>1</v>
      </c>
      <c r="T10" s="114">
        <f t="shared" ref="T10:T21" si="10">ROUND(IF(H10="CRITICA",J10,IF(H10="BAJA",J10*90%,IF(H10="BUENA",J10*50%,IF(H10="EXCELENTE",J10*20%,0)))),0)</f>
        <v>1</v>
      </c>
      <c r="U10" s="114">
        <f>IFERROR(ROUND(K10*LOOKUP(H10,Controles!$AT$9:$AT$12,Controles!$AU$9:$AU$12),0),0)</f>
        <v>1</v>
      </c>
      <c r="V10" s="115">
        <f t="shared" si="5"/>
        <v>1</v>
      </c>
      <c r="W10" s="116" t="str">
        <f t="shared" si="6"/>
        <v>BAJO</v>
      </c>
      <c r="X10" s="114" t="str">
        <f t="shared" si="7"/>
        <v>Tratar</v>
      </c>
    </row>
    <row r="11" spans="2:32" ht="54" customHeight="1" x14ac:dyDescent="0.35">
      <c r="B11" s="89">
        <f t="shared" si="8"/>
        <v>3</v>
      </c>
      <c r="C11" s="89" t="str">
        <f>'R I'!C9</f>
        <v>Gestión Financiera y Contable</v>
      </c>
      <c r="D11" s="89" t="str">
        <f>'R I'!D9</f>
        <v>Gestión de Ingresos y Gestión de Esgresos</v>
      </c>
      <c r="E11" s="71" t="str">
        <f>IFERROR(VLOOKUP(B11,'R I'!$E$7:$G$28,3,0)," ")</f>
        <v>Canales comerciales y/o transaccionales</v>
      </c>
      <c r="F11" s="89" t="str">
        <f t="shared" si="0"/>
        <v>Canales comerciales y/o transaccionales</v>
      </c>
      <c r="G11" s="89" t="str">
        <f t="shared" si="9"/>
        <v>LAFT2</v>
      </c>
      <c r="H11" s="89" t="str">
        <f t="shared" si="1"/>
        <v>BUENA</v>
      </c>
      <c r="I11" s="89" t="str">
        <f t="shared" si="2"/>
        <v>Posibilidad de utilización de un canal comercial o transaccional de la Lotería para realizar operaciones relacionadas con LA/FT/FPADM.</v>
      </c>
      <c r="J11" s="125">
        <f t="shared" si="3"/>
        <v>3</v>
      </c>
      <c r="K11" s="125">
        <f t="shared" si="4"/>
        <v>4.5</v>
      </c>
      <c r="L11" s="125">
        <f>'R I'!W9</f>
        <v>5</v>
      </c>
      <c r="M11" s="125">
        <f>'R I'!X9</f>
        <v>4</v>
      </c>
      <c r="N11" s="125">
        <f>'R I'!Y9</f>
        <v>5</v>
      </c>
      <c r="O11" s="125">
        <f>'R I'!Z9</f>
        <v>4</v>
      </c>
      <c r="P11" s="126">
        <f>IFERROR(L11*LOOKUP($H11,Controles!$AT$9:$AT$12,Controles!$AU$9:$AU$12),0)</f>
        <v>2.5</v>
      </c>
      <c r="Q11" s="126">
        <f>IFERROR(M11*LOOKUP($H11,Controles!$AT$9:$AT$12,Controles!$AU$9:$AU$12),0)</f>
        <v>2</v>
      </c>
      <c r="R11" s="126">
        <f>IFERROR(N11*LOOKUP($H11,Controles!$AT$9:$AT$12,Controles!$AU$9:$AU$12),0)</f>
        <v>2.5</v>
      </c>
      <c r="S11" s="126">
        <f>IFERROR(O11*LOOKUP($H11,Controles!$AT$9:$AT$12,Controles!$AU$9:$AU$12),0)</f>
        <v>2</v>
      </c>
      <c r="T11" s="114">
        <f t="shared" si="10"/>
        <v>2</v>
      </c>
      <c r="U11" s="114">
        <f>IFERROR(ROUND(K11*LOOKUP(H11,Controles!$AT$9:$AT$12,Controles!$AU$9:$AU$12),0),0)</f>
        <v>2</v>
      </c>
      <c r="V11" s="115">
        <f t="shared" si="5"/>
        <v>4</v>
      </c>
      <c r="W11" s="116" t="str">
        <f t="shared" si="6"/>
        <v>BAJO</v>
      </c>
      <c r="X11" s="114" t="str">
        <f t="shared" si="7"/>
        <v>Tratar</v>
      </c>
    </row>
    <row r="12" spans="2:32" ht="75" customHeight="1" x14ac:dyDescent="0.35">
      <c r="B12" s="89">
        <f t="shared" si="8"/>
        <v>4</v>
      </c>
      <c r="C12" s="89" t="str">
        <f>'R I'!C10</f>
        <v>Gestión Financiera y Contable</v>
      </c>
      <c r="D12" s="89" t="str">
        <f>'R I'!D10</f>
        <v>Gestión de Cartera</v>
      </c>
      <c r="E12" s="71" t="str">
        <f>IFERROR(VLOOKUP(B12,'R I'!$E$7:$G$28,3,0)," ")</f>
        <v>Contrapartes</v>
      </c>
      <c r="F12" s="89" t="str">
        <f t="shared" si="0"/>
        <v>Contrapartes</v>
      </c>
      <c r="G12" s="89" t="str">
        <f t="shared" si="9"/>
        <v>LAFT2</v>
      </c>
      <c r="H12" s="89" t="str">
        <f t="shared" si="1"/>
        <v>BUENA</v>
      </c>
      <c r="I12" s="89" t="str">
        <f t="shared" si="2"/>
        <v>Posibilidad de recuperar valores en la gestión de cobro sin el conocimiento del origen de los fondos.</v>
      </c>
      <c r="J12" s="125">
        <f t="shared" si="3"/>
        <v>3</v>
      </c>
      <c r="K12" s="125">
        <f t="shared" si="4"/>
        <v>4.25</v>
      </c>
      <c r="L12" s="125">
        <f>'R I'!W10</f>
        <v>5</v>
      </c>
      <c r="M12" s="125">
        <f>'R I'!X10</f>
        <v>3</v>
      </c>
      <c r="N12" s="125">
        <f>'R I'!Y10</f>
        <v>5</v>
      </c>
      <c r="O12" s="125">
        <f>'R I'!Z10</f>
        <v>4</v>
      </c>
      <c r="P12" s="126">
        <f>IFERROR(L12*LOOKUP($H12,Controles!$AT$9:$AT$12,Controles!$AU$9:$AU$12),0)</f>
        <v>2.5</v>
      </c>
      <c r="Q12" s="126">
        <f>IFERROR(M12*LOOKUP($H12,Controles!$AT$9:$AT$12,Controles!$AU$9:$AU$12),0)</f>
        <v>1.5</v>
      </c>
      <c r="R12" s="126">
        <f>IFERROR(N12*LOOKUP($H12,Controles!$AT$9:$AT$12,Controles!$AU$9:$AU$12),0)</f>
        <v>2.5</v>
      </c>
      <c r="S12" s="126">
        <f>IFERROR(O12*LOOKUP($H12,Controles!$AT$9:$AT$12,Controles!$AU$9:$AU$12),0)</f>
        <v>2</v>
      </c>
      <c r="T12" s="114">
        <f t="shared" si="10"/>
        <v>2</v>
      </c>
      <c r="U12" s="114">
        <f>IFERROR(ROUND(K12*LOOKUP(H12,Controles!$AT$9:$AT$12,Controles!$AU$9:$AU$12),0),0)</f>
        <v>2</v>
      </c>
      <c r="V12" s="115">
        <f t="shared" si="5"/>
        <v>4</v>
      </c>
      <c r="W12" s="116" t="str">
        <f t="shared" si="6"/>
        <v>BAJO</v>
      </c>
      <c r="X12" s="114" t="str">
        <f t="shared" si="7"/>
        <v>Tratar</v>
      </c>
    </row>
    <row r="13" spans="2:32" ht="72.75" customHeight="1" x14ac:dyDescent="0.35">
      <c r="B13" s="89">
        <f t="shared" si="8"/>
        <v>5</v>
      </c>
      <c r="C13" s="89" t="str">
        <f>'R I'!C11</f>
        <v>Transversal a Todas las Áreas y/o Unidades</v>
      </c>
      <c r="D13" s="89" t="str">
        <f>'R I'!D11</f>
        <v>Transversal a Todas las Áreas y/o Unidades</v>
      </c>
      <c r="E13" s="71" t="str">
        <f>IFERROR(VLOOKUP(B13,'R I'!$E$7:$G$28,3,0)," ")</f>
        <v>Servidores Públicos y/o Contratistas</v>
      </c>
      <c r="F13" s="89" t="str">
        <f t="shared" si="0"/>
        <v>Servidores Públicos y/o Contratistas</v>
      </c>
      <c r="G13" s="89" t="str">
        <f t="shared" si="9"/>
        <v>LAFT18</v>
      </c>
      <c r="H13" s="89" t="str">
        <f t="shared" si="1"/>
        <v>EXCELENTE</v>
      </c>
      <c r="I13" s="89" t="str">
        <f t="shared" si="2"/>
        <v>Posibilidad de ofrecimientos de dinero o dádivas a colaboradores de la Lotería para entregar, manipular, extraer, cambiar o transferir información de entidad o de sus clientes a terceros no vinculados a la Entidad con el proposito de realizar operaciones y/o actividades relacionadas con el riesgo LA/FT/FPADM.</v>
      </c>
      <c r="J13" s="125">
        <f t="shared" si="3"/>
        <v>4</v>
      </c>
      <c r="K13" s="125">
        <f t="shared" si="4"/>
        <v>5</v>
      </c>
      <c r="L13" s="125">
        <f>'R I'!W11</f>
        <v>5</v>
      </c>
      <c r="M13" s="125">
        <f>'R I'!X11</f>
        <v>5</v>
      </c>
      <c r="N13" s="125">
        <f>'R I'!Y11</f>
        <v>5</v>
      </c>
      <c r="O13" s="125">
        <f>'R I'!Z11</f>
        <v>5</v>
      </c>
      <c r="P13" s="126">
        <f>IFERROR(L13*LOOKUP($H13,Controles!$AT$9:$AT$12,Controles!$AU$9:$AU$12),0)</f>
        <v>1</v>
      </c>
      <c r="Q13" s="126">
        <f>IFERROR(M13*LOOKUP($H13,Controles!$AT$9:$AT$12,Controles!$AU$9:$AU$12),0)</f>
        <v>1</v>
      </c>
      <c r="R13" s="126">
        <f>IFERROR(N13*LOOKUP($H13,Controles!$AT$9:$AT$12,Controles!$AU$9:$AU$12),0)</f>
        <v>1</v>
      </c>
      <c r="S13" s="126">
        <f>IFERROR(O13*LOOKUP($H13,Controles!$AT$9:$AT$12,Controles!$AU$9:$AU$12),0)</f>
        <v>1</v>
      </c>
      <c r="T13" s="114">
        <f t="shared" si="10"/>
        <v>1</v>
      </c>
      <c r="U13" s="114">
        <f>IFERROR(ROUND(K13*LOOKUP(H13,Controles!$AT$9:$AT$12,Controles!$AU$9:$AU$12),0),0)</f>
        <v>1</v>
      </c>
      <c r="V13" s="115">
        <f t="shared" si="5"/>
        <v>1</v>
      </c>
      <c r="W13" s="116" t="str">
        <f t="shared" si="6"/>
        <v>BAJO</v>
      </c>
      <c r="X13" s="114" t="str">
        <f t="shared" si="7"/>
        <v>Tratar</v>
      </c>
    </row>
    <row r="14" spans="2:32" ht="70.5" customHeight="1" x14ac:dyDescent="0.35">
      <c r="B14" s="89">
        <f t="shared" si="8"/>
        <v>6</v>
      </c>
      <c r="C14" s="89" t="str">
        <f>'R I'!C12</f>
        <v>Explotación de JSA - Control Inspección y Fiscalización - Gestión de Talento Humano - Gestión de Bienes y Servicios</v>
      </c>
      <c r="D14" s="89" t="str">
        <f>'R I'!D12</f>
        <v>Vinculación PEP´S y/o Alto Riesgo y Debida Diligencia Ampliada</v>
      </c>
      <c r="E14" s="71" t="str">
        <f>IFERROR(VLOOKUP(B14,'R I'!$E$7:$G$28,3,0)," ")</f>
        <v>Servidores Públicos, Contratistas y Contrapartes</v>
      </c>
      <c r="F14" s="89" t="str">
        <f t="shared" si="0"/>
        <v>Servidores Públicos, Contratistas y Contrapartes</v>
      </c>
      <c r="G14" s="89" t="str">
        <f t="shared" si="9"/>
        <v>LAFT19</v>
      </c>
      <c r="H14" s="89" t="str">
        <f t="shared" si="1"/>
        <v>EXCELENTE</v>
      </c>
      <c r="I14" s="89" t="str">
        <f t="shared" si="2"/>
        <v>Posibilidad de tener algún tipo de vínculo contractual con Personas Expuestas Políticamente (PEP) que se puedan aprovechar de su condición para realizar actividades de LA/FT/FPADM. (No es problemático tener esta relación contractual, el problema está en desconocerla)</v>
      </c>
      <c r="J14" s="125">
        <f t="shared" si="3"/>
        <v>3</v>
      </c>
      <c r="K14" s="125">
        <f t="shared" si="4"/>
        <v>3.25</v>
      </c>
      <c r="L14" s="125">
        <f>'R I'!W12</f>
        <v>1</v>
      </c>
      <c r="M14" s="125">
        <f>'R I'!X12</f>
        <v>5</v>
      </c>
      <c r="N14" s="125">
        <f>'R I'!Y12</f>
        <v>5</v>
      </c>
      <c r="O14" s="125">
        <f>'R I'!Z12</f>
        <v>2</v>
      </c>
      <c r="P14" s="126">
        <f>IFERROR(L14*LOOKUP($H14,Controles!$AT$9:$AT$12,Controles!$AU$9:$AU$12),0)</f>
        <v>0.2</v>
      </c>
      <c r="Q14" s="126">
        <f>IFERROR(M14*LOOKUP($H14,Controles!$AT$9:$AT$12,Controles!$AU$9:$AU$12),0)</f>
        <v>1</v>
      </c>
      <c r="R14" s="126">
        <f>IFERROR(N14*LOOKUP($H14,Controles!$AT$9:$AT$12,Controles!$AU$9:$AU$12),0)</f>
        <v>1</v>
      </c>
      <c r="S14" s="126">
        <f>IFERROR(O14*LOOKUP($H14,Controles!$AT$9:$AT$12,Controles!$AU$9:$AU$12),0)</f>
        <v>0.4</v>
      </c>
      <c r="T14" s="114">
        <f t="shared" si="10"/>
        <v>1</v>
      </c>
      <c r="U14" s="114">
        <f>IFERROR(ROUND(K14*LOOKUP(H14,Controles!$AT$9:$AT$12,Controles!$AU$9:$AU$12),0),0)</f>
        <v>1</v>
      </c>
      <c r="V14" s="115">
        <f t="shared" si="5"/>
        <v>1</v>
      </c>
      <c r="W14" s="116" t="str">
        <f t="shared" si="6"/>
        <v>BAJO</v>
      </c>
      <c r="X14" s="114" t="str">
        <f t="shared" si="7"/>
        <v>Tratar</v>
      </c>
    </row>
    <row r="15" spans="2:32" ht="71.25" customHeight="1" x14ac:dyDescent="0.35">
      <c r="B15" s="89">
        <f t="shared" si="8"/>
        <v>7</v>
      </c>
      <c r="C15" s="89" t="str">
        <f>'R I'!C13</f>
        <v>Gestión de Comunicaciones</v>
      </c>
      <c r="D15" s="89" t="str">
        <f>'R I'!D13</f>
        <v>Gestión de Comunicaciones</v>
      </c>
      <c r="E15" s="71" t="str">
        <f>IFERROR(VLOOKUP(B15,'R I'!$E$7:$G$28,3,0)," ")</f>
        <v>Canales comerciales y/o transaccionales</v>
      </c>
      <c r="F15" s="89" t="str">
        <f t="shared" si="0"/>
        <v>Canales comerciales y/o transaccionales</v>
      </c>
      <c r="G15" s="89" t="str">
        <f t="shared" si="9"/>
        <v>LAFT7</v>
      </c>
      <c r="H15" s="89" t="str">
        <f t="shared" si="1"/>
        <v>EXCELENTE</v>
      </c>
      <c r="I15" s="89" t="str">
        <f t="shared" si="2"/>
        <v>Posibilidad de tener vínculo contractual con contrapartes sobre las que se ha emitido información negativa en medios de comunicación, están o han estado incluídos en procesos judiciales o administrativos por delitos relacionados con LA/FT/FPADM, que puedan permear a la Lotería de Bogotá</v>
      </c>
      <c r="J15" s="125">
        <f t="shared" si="3"/>
        <v>4</v>
      </c>
      <c r="K15" s="125">
        <f t="shared" si="4"/>
        <v>4</v>
      </c>
      <c r="L15" s="125">
        <f>'R I'!W13</f>
        <v>5</v>
      </c>
      <c r="M15" s="125">
        <f>'R I'!X13</f>
        <v>5</v>
      </c>
      <c r="N15" s="125">
        <f>'R I'!Y13</f>
        <v>5</v>
      </c>
      <c r="O15" s="125">
        <f>'R I'!Z13</f>
        <v>1</v>
      </c>
      <c r="P15" s="126">
        <f>IFERROR(L15*LOOKUP($H15,Controles!$AT$9:$AT$12,Controles!$AU$9:$AU$12),0)</f>
        <v>1</v>
      </c>
      <c r="Q15" s="126">
        <f>IFERROR(M15*LOOKUP($H15,Controles!$AT$9:$AT$12,Controles!$AU$9:$AU$12),0)</f>
        <v>1</v>
      </c>
      <c r="R15" s="126">
        <f>IFERROR(N15*LOOKUP($H15,Controles!$AT$9:$AT$12,Controles!$AU$9:$AU$12),0)</f>
        <v>1</v>
      </c>
      <c r="S15" s="126">
        <f>IFERROR(O15*LOOKUP($H15,Controles!$AT$9:$AT$12,Controles!$AU$9:$AU$12),0)</f>
        <v>0.2</v>
      </c>
      <c r="T15" s="114">
        <f t="shared" si="10"/>
        <v>1</v>
      </c>
      <c r="U15" s="114">
        <f>IFERROR(ROUND(K15*LOOKUP(H15,Controles!$AT$9:$AT$12,Controles!$AU$9:$AU$12),0),0)</f>
        <v>1</v>
      </c>
      <c r="V15" s="115">
        <f t="shared" si="5"/>
        <v>1</v>
      </c>
      <c r="W15" s="116" t="str">
        <f t="shared" si="6"/>
        <v>BAJO</v>
      </c>
      <c r="X15" s="114" t="str">
        <f t="shared" si="7"/>
        <v>Tratar</v>
      </c>
    </row>
    <row r="16" spans="2:32" ht="74.25" customHeight="1" x14ac:dyDescent="0.35">
      <c r="B16" s="89">
        <f t="shared" si="8"/>
        <v>8</v>
      </c>
      <c r="C16" s="89" t="str">
        <f>'R I'!C14</f>
        <v>Gestión de las Tecnologías y la Información</v>
      </c>
      <c r="D16" s="89" t="str">
        <f>'R I'!D14</f>
        <v>Administración de Usuarios</v>
      </c>
      <c r="E16" s="71" t="str">
        <f>IFERROR(VLOOKUP(B16,'R I'!$E$7:$G$28,3,0)," ")</f>
        <v>Servidores Públicos y/o Contratistas</v>
      </c>
      <c r="F16" s="89" t="str">
        <f t="shared" si="0"/>
        <v>Servidores Públicos y/o Contratistas</v>
      </c>
      <c r="G16" s="89" t="str">
        <f t="shared" si="9"/>
        <v>LAFT12</v>
      </c>
      <c r="H16" s="89" t="str">
        <f t="shared" si="1"/>
        <v>EXCELENTE</v>
      </c>
      <c r="I16" s="89" t="str">
        <f t="shared" si="2"/>
        <v xml:space="preserve">Posibilidad de pérdida y/o extracción de información relacionada con las bases de datos de la Lotería, que pueda ser utilizada por terceros para realizar actividades de LA/FT/FPADM. </v>
      </c>
      <c r="J16" s="125">
        <f t="shared" si="3"/>
        <v>3</v>
      </c>
      <c r="K16" s="125">
        <f t="shared" si="4"/>
        <v>3.75</v>
      </c>
      <c r="L16" s="125">
        <f>'R I'!W14</f>
        <v>2</v>
      </c>
      <c r="M16" s="125">
        <f>'R I'!X14</f>
        <v>4</v>
      </c>
      <c r="N16" s="125">
        <f>'R I'!Y14</f>
        <v>4</v>
      </c>
      <c r="O16" s="125">
        <f>'R I'!Z14</f>
        <v>5</v>
      </c>
      <c r="P16" s="126">
        <f>IFERROR(L16*LOOKUP($H16,Controles!$AT$9:$AT$12,Controles!$AU$9:$AU$12),0)</f>
        <v>0.4</v>
      </c>
      <c r="Q16" s="126">
        <f>IFERROR(M16*LOOKUP($H16,Controles!$AT$9:$AT$12,Controles!$AU$9:$AU$12),0)</f>
        <v>0.8</v>
      </c>
      <c r="R16" s="126">
        <f>IFERROR(N16*LOOKUP($H16,Controles!$AT$9:$AT$12,Controles!$AU$9:$AU$12),0)</f>
        <v>0.8</v>
      </c>
      <c r="S16" s="126">
        <f>IFERROR(O16*LOOKUP($H16,Controles!$AT$9:$AT$12,Controles!$AU$9:$AU$12),0)</f>
        <v>1</v>
      </c>
      <c r="T16" s="114">
        <f t="shared" si="10"/>
        <v>1</v>
      </c>
      <c r="U16" s="114">
        <f>IFERROR(ROUND(K16*LOOKUP(H16,Controles!$AT$9:$AT$12,Controles!$AU$9:$AU$12),0),0)</f>
        <v>1</v>
      </c>
      <c r="V16" s="115">
        <f t="shared" si="5"/>
        <v>1</v>
      </c>
      <c r="W16" s="116" t="str">
        <f t="shared" si="6"/>
        <v>BAJO</v>
      </c>
      <c r="X16" s="114" t="str">
        <f t="shared" si="7"/>
        <v>Tratar</v>
      </c>
    </row>
    <row r="17" spans="2:27" ht="69.75" customHeight="1" x14ac:dyDescent="0.35">
      <c r="B17" s="89">
        <f t="shared" si="8"/>
        <v>9</v>
      </c>
      <c r="C17" s="89" t="str">
        <f>'R I'!C15</f>
        <v>Gestión de las Tecnologías y la Información</v>
      </c>
      <c r="D17" s="89" t="str">
        <f>'R I'!D15</f>
        <v>Gestión de las Tecnologías y la Información</v>
      </c>
      <c r="E17" s="71" t="str">
        <f>IFERROR(VLOOKUP(B17,'R I'!$E$7:$G$28,3,0)," ")</f>
        <v>Clientes</v>
      </c>
      <c r="F17" s="89" t="str">
        <f t="shared" si="0"/>
        <v>Clientes</v>
      </c>
      <c r="G17" s="89" t="str">
        <f t="shared" si="9"/>
        <v>LAFT12</v>
      </c>
      <c r="H17" s="89" t="str">
        <f t="shared" si="1"/>
        <v>EXCELENTE</v>
      </c>
      <c r="I17" s="89" t="str">
        <f t="shared" si="2"/>
        <v>Posibilidad de pagar premios a usuarios y/o clientes en la página web de la Lotería o de manera tradicional, sin verificar la identidad del ganador y/o que este relacionado en actividades de LA/FT/FPADM.</v>
      </c>
      <c r="J17" s="125">
        <f t="shared" si="3"/>
        <v>4</v>
      </c>
      <c r="K17" s="125">
        <f t="shared" si="4"/>
        <v>4</v>
      </c>
      <c r="L17" s="125">
        <f>'R I'!W15</f>
        <v>1</v>
      </c>
      <c r="M17" s="125">
        <f>'R I'!X15</f>
        <v>5</v>
      </c>
      <c r="N17" s="125">
        <f>'R I'!Y15</f>
        <v>5</v>
      </c>
      <c r="O17" s="125">
        <f>'R I'!Z15</f>
        <v>5</v>
      </c>
      <c r="P17" s="126">
        <f>IFERROR(L17*LOOKUP($H17,Controles!$AT$9:$AT$12,Controles!$AU$9:$AU$12),0)</f>
        <v>0.2</v>
      </c>
      <c r="Q17" s="126">
        <f>IFERROR(M17*LOOKUP($H17,Controles!$AT$9:$AT$12,Controles!$AU$9:$AU$12),0)</f>
        <v>1</v>
      </c>
      <c r="R17" s="126">
        <f>IFERROR(N17*LOOKUP($H17,Controles!$AT$9:$AT$12,Controles!$AU$9:$AU$12),0)</f>
        <v>1</v>
      </c>
      <c r="S17" s="126">
        <f>IFERROR(O17*LOOKUP($H17,Controles!$AT$9:$AT$12,Controles!$AU$9:$AU$12),0)</f>
        <v>1</v>
      </c>
      <c r="T17" s="114">
        <f t="shared" si="10"/>
        <v>1</v>
      </c>
      <c r="U17" s="114">
        <f>IFERROR(ROUND(K17*LOOKUP(H17,Controles!$AT$9:$AT$12,Controles!$AU$9:$AU$12),0),0)</f>
        <v>1</v>
      </c>
      <c r="V17" s="115">
        <f t="shared" si="5"/>
        <v>1</v>
      </c>
      <c r="W17" s="116" t="str">
        <f t="shared" si="6"/>
        <v>BAJO</v>
      </c>
      <c r="X17" s="114" t="str">
        <f t="shared" si="7"/>
        <v>Tratar</v>
      </c>
    </row>
    <row r="18" spans="2:27" ht="68.25" customHeight="1" x14ac:dyDescent="0.35">
      <c r="B18" s="89">
        <f t="shared" si="8"/>
        <v>10</v>
      </c>
      <c r="C18" s="89" t="str">
        <f>'R I'!C16</f>
        <v>Subgerencia Comercial y Gestión de Comunicaciones</v>
      </c>
      <c r="D18" s="89" t="str">
        <f>'R I'!D16</f>
        <v>Subgerencia Comercial y Gestión de Comunicaciones</v>
      </c>
      <c r="E18" s="71" t="str">
        <f>IFERROR(VLOOKUP(B18,'R I'!$E$7:$G$28,3,0)," ")</f>
        <v>Clientes</v>
      </c>
      <c r="F18" s="89" t="str">
        <f t="shared" si="0"/>
        <v>Clientes</v>
      </c>
      <c r="G18" s="89" t="str">
        <f t="shared" si="9"/>
        <v>LAFT22</v>
      </c>
      <c r="H18" s="89" t="str">
        <f t="shared" si="1"/>
        <v>BUENA</v>
      </c>
      <c r="I18" s="89" t="str">
        <f t="shared" si="2"/>
        <v xml:space="preserve">Posibilidad de que un ganador del premio de la lotería venda o realice algun tipo de negociación con un tercero, para transferir la propiedad del billete de lotería con la finalidad de realizar una operación de LA/FT/FPADM. </v>
      </c>
      <c r="J18" s="125">
        <f t="shared" si="3"/>
        <v>3</v>
      </c>
      <c r="K18" s="125">
        <f t="shared" si="4"/>
        <v>5</v>
      </c>
      <c r="L18" s="125">
        <f>'R I'!W16</f>
        <v>5</v>
      </c>
      <c r="M18" s="125">
        <f>'R I'!X16</f>
        <v>5</v>
      </c>
      <c r="N18" s="125">
        <f>'R I'!Y16</f>
        <v>5</v>
      </c>
      <c r="O18" s="125">
        <f>'R I'!Z16</f>
        <v>5</v>
      </c>
      <c r="P18" s="126">
        <f>IFERROR(L18*LOOKUP($H18,Controles!$AT$9:$AT$12,Controles!$AU$9:$AU$12),0)</f>
        <v>2.5</v>
      </c>
      <c r="Q18" s="126">
        <f>IFERROR(M18*LOOKUP($H18,Controles!$AT$9:$AT$12,Controles!$AU$9:$AU$12),0)</f>
        <v>2.5</v>
      </c>
      <c r="R18" s="126">
        <f>IFERROR(N18*LOOKUP($H18,Controles!$AT$9:$AT$12,Controles!$AU$9:$AU$12),0)</f>
        <v>2.5</v>
      </c>
      <c r="S18" s="126">
        <f>IFERROR(O18*LOOKUP($H18,Controles!$AT$9:$AT$12,Controles!$AU$9:$AU$12),0)</f>
        <v>2.5</v>
      </c>
      <c r="T18" s="114">
        <f t="shared" si="10"/>
        <v>2</v>
      </c>
      <c r="U18" s="114">
        <f>IFERROR(ROUND(K18*LOOKUP(H18,Controles!$AT$9:$AT$12,Controles!$AU$9:$AU$12),0),0)</f>
        <v>3</v>
      </c>
      <c r="V18" s="115">
        <f t="shared" si="5"/>
        <v>6</v>
      </c>
      <c r="W18" s="116" t="str">
        <f t="shared" si="6"/>
        <v>BAJO</v>
      </c>
      <c r="X18" s="114" t="str">
        <f t="shared" si="7"/>
        <v>Tratar</v>
      </c>
      <c r="Y18" s="32"/>
      <c r="Z18" s="33">
        <f>IFERROR(AVERAGEIF($F$9:$F$1048576,"LAFT16",$T$9:$T$1048576),0)</f>
        <v>0</v>
      </c>
      <c r="AA18" s="33">
        <f>IFERROR(AVERAGEIF($F$9:$F$1048576,"LAFT16",$U$9:$U$1048576),0)</f>
        <v>0</v>
      </c>
    </row>
    <row r="19" spans="2:27" ht="74.25" customHeight="1" x14ac:dyDescent="0.35">
      <c r="B19" s="89">
        <f t="shared" si="8"/>
        <v>11</v>
      </c>
      <c r="C19" s="89" t="str">
        <f>'R I'!C17</f>
        <v>Explotación de JSA - Control Inspección y Fiscalización</v>
      </c>
      <c r="D19" s="89" t="str">
        <f>'R I'!D17</f>
        <v>Identificación y Análisis de Señales de Alerta, Operaciones Inusuales, Operaciones Sospechosas y Reportes Complementarios</v>
      </c>
      <c r="E19" s="71" t="str">
        <f>IFERROR(VLOOKUP(B19,'R I'!$E$7:$G$28,3,0)," ")</f>
        <v>Distribuidores y Gestores</v>
      </c>
      <c r="F19" s="89" t="str">
        <f t="shared" si="0"/>
        <v>Distribuidores y Gestores</v>
      </c>
      <c r="G19" s="89" t="str">
        <f t="shared" si="9"/>
        <v>LAFT20</v>
      </c>
      <c r="H19" s="89" t="str">
        <f t="shared" si="1"/>
        <v>BUENA</v>
      </c>
      <c r="I19" s="89" t="str">
        <f t="shared" si="2"/>
        <v>Posibilidad de que los distribuidores y gestores de la Lotería de Bogotá realicen el pago y/o entrega de un premio en dinero o en especie, sin aplicar los protocolos de consulta en las listas vinculantes y de control.</v>
      </c>
      <c r="J19" s="125">
        <f t="shared" si="3"/>
        <v>5</v>
      </c>
      <c r="K19" s="125">
        <f t="shared" si="4"/>
        <v>4.5</v>
      </c>
      <c r="L19" s="125">
        <f>'R I'!W17</f>
        <v>5</v>
      </c>
      <c r="M19" s="125">
        <f>'R I'!X17</f>
        <v>5</v>
      </c>
      <c r="N19" s="125">
        <f>'R I'!Y17</f>
        <v>5</v>
      </c>
      <c r="O19" s="125">
        <f>'R I'!Z17</f>
        <v>3</v>
      </c>
      <c r="P19" s="126">
        <f>IFERROR(L19*LOOKUP($H19,Controles!$AT$9:$AT$12,Controles!$AU$9:$AU$12),0)</f>
        <v>2.5</v>
      </c>
      <c r="Q19" s="126">
        <f>IFERROR(M19*LOOKUP($H19,Controles!$AT$9:$AT$12,Controles!$AU$9:$AU$12),0)</f>
        <v>2.5</v>
      </c>
      <c r="R19" s="126">
        <f>IFERROR(N19*LOOKUP($H19,Controles!$AT$9:$AT$12,Controles!$AU$9:$AU$12),0)</f>
        <v>2.5</v>
      </c>
      <c r="S19" s="126">
        <f>IFERROR(O19*LOOKUP($H19,Controles!$AT$9:$AT$12,Controles!$AU$9:$AU$12),0)</f>
        <v>1.5</v>
      </c>
      <c r="T19" s="114">
        <f t="shared" si="10"/>
        <v>3</v>
      </c>
      <c r="U19" s="114">
        <f>IFERROR(ROUND(K19*LOOKUP(H19,Controles!$AT$9:$AT$12,Controles!$AU$9:$AU$12),0),0)</f>
        <v>2</v>
      </c>
      <c r="V19" s="115">
        <f t="shared" si="5"/>
        <v>6</v>
      </c>
      <c r="W19" s="116" t="str">
        <f t="shared" si="6"/>
        <v>BAJO</v>
      </c>
      <c r="X19" s="114" t="str">
        <f t="shared" si="7"/>
        <v>Tratar</v>
      </c>
    </row>
    <row r="20" spans="2:27" ht="71.25" customHeight="1" x14ac:dyDescent="0.35">
      <c r="B20" s="89">
        <f t="shared" si="8"/>
        <v>12</v>
      </c>
      <c r="C20" s="89" t="str">
        <f>'R I'!C18</f>
        <v>Cumplimiento Gestión de LA/FT/FPADM</v>
      </c>
      <c r="D20" s="89" t="str">
        <f>'R I'!D18</f>
        <v>Identificación y Análisis de Señales de Alerta, Operaciones Inusuales, Operaciones Sospechosas y Reportes Complementarios</v>
      </c>
      <c r="E20" s="71" t="str">
        <f>IFERROR(VLOOKUP(B20,'R I'!$E$7:$G$28,3,0)," ")</f>
        <v>Clientes</v>
      </c>
      <c r="F20" s="89" t="str">
        <f t="shared" si="0"/>
        <v>Clientes</v>
      </c>
      <c r="G20" s="89" t="str">
        <f t="shared" si="9"/>
        <v>LAFT15</v>
      </c>
      <c r="H20" s="89" t="str">
        <f t="shared" si="1"/>
        <v>BUENA</v>
      </c>
      <c r="I20" s="89" t="str">
        <f t="shared" si="2"/>
        <v>Posibilidad que se identifique un cobro continuo de premios en una o más modalidades de juego, por una misma persona o un mismo ganador.</v>
      </c>
      <c r="J20" s="125">
        <f t="shared" si="3"/>
        <v>4</v>
      </c>
      <c r="K20" s="125">
        <f t="shared" si="4"/>
        <v>5</v>
      </c>
      <c r="L20" s="125">
        <f>'R I'!W18</f>
        <v>5</v>
      </c>
      <c r="M20" s="125">
        <f>'R I'!X18</f>
        <v>5</v>
      </c>
      <c r="N20" s="125">
        <f>'R I'!Y18</f>
        <v>5</v>
      </c>
      <c r="O20" s="125">
        <f>'R I'!Z18</f>
        <v>5</v>
      </c>
      <c r="P20" s="126">
        <f>IFERROR(L20*LOOKUP($H20,Controles!$AT$9:$AT$12,Controles!$AU$9:$AU$12),0)</f>
        <v>2.5</v>
      </c>
      <c r="Q20" s="126">
        <f>IFERROR(M20*LOOKUP($H20,Controles!$AT$9:$AT$12,Controles!$AU$9:$AU$12),0)</f>
        <v>2.5</v>
      </c>
      <c r="R20" s="126">
        <f>IFERROR(N20*LOOKUP($H20,Controles!$AT$9:$AT$12,Controles!$AU$9:$AU$12),0)</f>
        <v>2.5</v>
      </c>
      <c r="S20" s="126">
        <f>IFERROR(O20*LOOKUP($H20,Controles!$AT$9:$AT$12,Controles!$AU$9:$AU$12),0)</f>
        <v>2.5</v>
      </c>
      <c r="T20" s="114">
        <f t="shared" si="10"/>
        <v>2</v>
      </c>
      <c r="U20" s="114">
        <f>IFERROR(ROUND(K20*LOOKUP(H20,Controles!$AT$9:$AT$12,Controles!$AU$9:$AU$12),0),0)</f>
        <v>3</v>
      </c>
      <c r="V20" s="115">
        <f t="shared" si="5"/>
        <v>6</v>
      </c>
      <c r="W20" s="116" t="str">
        <f t="shared" si="6"/>
        <v>BAJO</v>
      </c>
      <c r="X20" s="114" t="str">
        <f t="shared" si="7"/>
        <v>Tratar</v>
      </c>
    </row>
    <row r="21" spans="2:27" ht="81" customHeight="1" x14ac:dyDescent="0.35">
      <c r="B21" s="89">
        <f t="shared" si="8"/>
        <v>13</v>
      </c>
      <c r="C21" s="89" t="str">
        <f>'R I'!C19</f>
        <v>Explotación de JSA - Control Inspección y Fiscalización</v>
      </c>
      <c r="D21" s="89" t="str">
        <f>'R I'!D19</f>
        <v>Identificación y Análisis de Señales de Alerta, Operaciones Inusuales, Operaciones Sospechosas y Reportes Complementarios</v>
      </c>
      <c r="E21" s="71" t="str">
        <f>IFERROR(VLOOKUP(B21,'R I'!$E$7:$G$28,3,0)," ")</f>
        <v>Concesionario</v>
      </c>
      <c r="F21" s="89" t="str">
        <f t="shared" si="0"/>
        <v>Concesionario</v>
      </c>
      <c r="G21" s="89" t="str">
        <f t="shared" si="9"/>
        <v>LAFT20</v>
      </c>
      <c r="H21" s="89" t="str">
        <f t="shared" si="1"/>
        <v>BUENA</v>
      </c>
      <c r="I21" s="89" t="str">
        <f t="shared" si="2"/>
        <v>Posibilidad de que el concesionario no implemente un Sistema de LA/FT/FPADM y/o no de cumplimiento a los lineamientos del Acuerdo 574 de 2021 del CNJSA en lateria de LA/FT/FPADM.</v>
      </c>
      <c r="J21" s="125">
        <f t="shared" si="3"/>
        <v>5</v>
      </c>
      <c r="K21" s="125">
        <f t="shared" si="4"/>
        <v>4.5</v>
      </c>
      <c r="L21" s="125">
        <f>'R I'!W19</f>
        <v>5</v>
      </c>
      <c r="M21" s="125">
        <f>'R I'!X19</f>
        <v>5</v>
      </c>
      <c r="N21" s="125">
        <f>'R I'!Y19</f>
        <v>5</v>
      </c>
      <c r="O21" s="125">
        <f>'R I'!Z19</f>
        <v>3</v>
      </c>
      <c r="P21" s="126">
        <f>IFERROR(L21*LOOKUP($H21,Controles!$AT$9:$AT$12,Controles!$AU$9:$AU$12),0)</f>
        <v>2.5</v>
      </c>
      <c r="Q21" s="126">
        <f>IFERROR(M21*LOOKUP($H21,Controles!$AT$9:$AT$12,Controles!$AU$9:$AU$12),0)</f>
        <v>2.5</v>
      </c>
      <c r="R21" s="126">
        <f>IFERROR(N21*LOOKUP($H21,Controles!$AT$9:$AT$12,Controles!$AU$9:$AU$12),0)</f>
        <v>2.5</v>
      </c>
      <c r="S21" s="126">
        <f>IFERROR(O21*LOOKUP($H21,Controles!$AT$9:$AT$12,Controles!$AU$9:$AU$12),0)</f>
        <v>1.5</v>
      </c>
      <c r="T21" s="114">
        <f t="shared" si="10"/>
        <v>3</v>
      </c>
      <c r="U21" s="114">
        <f>IFERROR(ROUND(K21*LOOKUP(H21,Controles!$AT$9:$AT$12,Controles!$AU$9:$AU$12),0),0)</f>
        <v>2</v>
      </c>
      <c r="V21" s="115">
        <f t="shared" si="5"/>
        <v>6</v>
      </c>
      <c r="W21" s="116" t="str">
        <f t="shared" si="6"/>
        <v>BAJO</v>
      </c>
      <c r="X21" s="114" t="str">
        <f t="shared" si="7"/>
        <v>Tratar</v>
      </c>
    </row>
    <row r="22" spans="2:27" ht="69" customHeight="1" x14ac:dyDescent="0.35">
      <c r="B22" s="129"/>
      <c r="C22" s="129"/>
      <c r="D22" s="129"/>
      <c r="E22" s="6"/>
      <c r="F22" s="129"/>
      <c r="G22" s="129"/>
      <c r="H22" s="129"/>
      <c r="I22" s="129"/>
      <c r="J22" s="130"/>
      <c r="K22" s="130"/>
      <c r="L22" s="130"/>
      <c r="M22" s="130"/>
      <c r="N22" s="130"/>
      <c r="O22" s="130"/>
      <c r="P22" s="131"/>
      <c r="Q22" s="131"/>
      <c r="R22" s="131"/>
      <c r="S22" s="131"/>
      <c r="T22" s="132"/>
      <c r="U22" s="132"/>
      <c r="V22" s="133"/>
      <c r="W22" s="134"/>
      <c r="X22" s="132"/>
    </row>
    <row r="23" spans="2:27" ht="66.75" customHeight="1" x14ac:dyDescent="0.35">
      <c r="B23" s="129"/>
      <c r="C23" s="129"/>
      <c r="D23" s="129"/>
      <c r="E23" s="6"/>
      <c r="F23" s="129"/>
      <c r="G23" s="129"/>
      <c r="H23" s="129"/>
      <c r="I23" s="129"/>
      <c r="J23" s="130"/>
      <c r="K23" s="130"/>
      <c r="L23" s="130"/>
      <c r="M23" s="130"/>
      <c r="N23" s="130"/>
      <c r="O23" s="130"/>
      <c r="P23" s="131"/>
      <c r="Q23" s="131"/>
      <c r="R23" s="131"/>
      <c r="S23" s="131"/>
      <c r="T23" s="132"/>
      <c r="U23" s="132"/>
      <c r="V23" s="133"/>
      <c r="W23" s="134"/>
      <c r="X23" s="132"/>
    </row>
    <row r="24" spans="2:27" ht="42" customHeight="1" x14ac:dyDescent="0.35">
      <c r="B24" s="129"/>
      <c r="C24" s="129"/>
      <c r="D24" s="129"/>
      <c r="E24" s="6"/>
      <c r="F24" s="129"/>
      <c r="G24" s="129"/>
      <c r="H24" s="129"/>
      <c r="I24" s="129"/>
      <c r="J24" s="130"/>
      <c r="K24" s="130"/>
      <c r="L24" s="130"/>
      <c r="M24" s="130"/>
      <c r="N24" s="130"/>
      <c r="O24" s="130"/>
      <c r="P24" s="131"/>
      <c r="Q24" s="131"/>
      <c r="R24" s="131"/>
      <c r="S24" s="131"/>
      <c r="T24" s="132"/>
      <c r="U24" s="132"/>
      <c r="V24" s="133"/>
      <c r="W24" s="134"/>
      <c r="X24" s="132"/>
    </row>
    <row r="25" spans="2:27" ht="42" customHeight="1" x14ac:dyDescent="0.35">
      <c r="B25" s="129"/>
      <c r="C25" s="129"/>
      <c r="D25" s="129"/>
      <c r="E25" s="6"/>
      <c r="F25" s="129"/>
      <c r="G25" s="129"/>
      <c r="H25" s="129"/>
      <c r="I25" s="129"/>
      <c r="J25" s="130"/>
      <c r="K25" s="130"/>
      <c r="L25" s="130"/>
      <c r="M25" s="130"/>
      <c r="N25" s="130"/>
      <c r="O25" s="130"/>
      <c r="P25" s="131"/>
      <c r="Q25" s="131"/>
      <c r="R25" s="131"/>
      <c r="S25" s="131"/>
      <c r="T25" s="132"/>
      <c r="U25" s="132"/>
      <c r="V25" s="133"/>
      <c r="W25" s="134"/>
      <c r="X25" s="132"/>
    </row>
    <row r="26" spans="2:27" ht="42" customHeight="1" x14ac:dyDescent="0.35">
      <c r="B26" s="129"/>
      <c r="C26" s="129"/>
      <c r="D26" s="129"/>
      <c r="E26" s="6"/>
      <c r="F26" s="129"/>
      <c r="G26" s="129"/>
      <c r="H26" s="129"/>
      <c r="I26" s="129"/>
      <c r="J26" s="130"/>
      <c r="K26" s="130"/>
      <c r="L26" s="130"/>
      <c r="M26" s="130"/>
      <c r="N26" s="130"/>
      <c r="O26" s="130"/>
      <c r="P26" s="131"/>
      <c r="Q26" s="131"/>
      <c r="R26" s="131"/>
      <c r="S26" s="131"/>
      <c r="T26" s="132"/>
      <c r="U26" s="132"/>
      <c r="V26" s="133"/>
      <c r="W26" s="134"/>
      <c r="X26" s="132"/>
    </row>
    <row r="27" spans="2:27" ht="48" customHeight="1" x14ac:dyDescent="0.35">
      <c r="B27" s="129"/>
      <c r="C27" s="129"/>
      <c r="D27" s="129"/>
      <c r="E27" s="6"/>
      <c r="F27" s="129"/>
      <c r="G27" s="129"/>
      <c r="H27" s="129"/>
      <c r="I27" s="129"/>
      <c r="J27" s="130"/>
      <c r="K27" s="130"/>
      <c r="L27" s="130"/>
      <c r="M27" s="130"/>
      <c r="N27" s="130"/>
      <c r="O27" s="130"/>
      <c r="P27" s="131"/>
      <c r="Q27" s="131"/>
      <c r="R27" s="131"/>
      <c r="S27" s="131"/>
      <c r="T27" s="132"/>
      <c r="U27" s="132"/>
      <c r="V27" s="133"/>
      <c r="W27" s="134"/>
      <c r="X27" s="132"/>
    </row>
    <row r="28" spans="2:27" ht="63.75" customHeight="1" x14ac:dyDescent="0.35">
      <c r="B28" s="129"/>
      <c r="C28" s="129"/>
      <c r="D28" s="129"/>
      <c r="E28" s="6"/>
      <c r="F28" s="129"/>
      <c r="G28" s="129"/>
      <c r="H28" s="129"/>
      <c r="I28" s="129"/>
      <c r="J28" s="130"/>
      <c r="K28" s="130"/>
      <c r="L28" s="130"/>
      <c r="M28" s="130"/>
      <c r="N28" s="130"/>
      <c r="O28" s="130"/>
      <c r="P28" s="131"/>
      <c r="Q28" s="131"/>
      <c r="R28" s="131"/>
      <c r="S28" s="131"/>
      <c r="T28" s="132"/>
      <c r="U28" s="132"/>
      <c r="V28" s="133"/>
      <c r="W28" s="134"/>
      <c r="X28" s="132"/>
    </row>
    <row r="29" spans="2:27" ht="68.25" customHeight="1" x14ac:dyDescent="0.35">
      <c r="B29" s="129"/>
      <c r="C29" s="129"/>
      <c r="D29" s="129"/>
      <c r="E29" s="6"/>
      <c r="F29" s="129"/>
      <c r="G29" s="129"/>
      <c r="H29" s="129"/>
      <c r="I29" s="129"/>
      <c r="J29" s="130"/>
      <c r="K29" s="130"/>
      <c r="L29" s="130"/>
      <c r="M29" s="130"/>
      <c r="N29" s="130"/>
      <c r="O29" s="130"/>
      <c r="P29" s="131"/>
      <c r="Q29" s="131"/>
      <c r="R29" s="131"/>
      <c r="S29" s="131"/>
      <c r="T29" s="132"/>
      <c r="U29" s="132"/>
      <c r="V29" s="133"/>
      <c r="W29" s="134"/>
      <c r="X29" s="132"/>
    </row>
    <row r="30" spans="2:27" ht="48" customHeight="1" x14ac:dyDescent="0.35">
      <c r="B30" s="129"/>
      <c r="C30" s="129"/>
      <c r="D30" s="129"/>
      <c r="E30" s="6"/>
      <c r="F30" s="129"/>
      <c r="G30" s="129"/>
      <c r="H30" s="129"/>
      <c r="I30" s="129"/>
      <c r="J30" s="130"/>
      <c r="K30" s="130"/>
      <c r="L30" s="130"/>
      <c r="M30" s="130"/>
      <c r="N30" s="130"/>
      <c r="O30" s="130"/>
      <c r="P30" s="131"/>
      <c r="Q30" s="131"/>
      <c r="R30" s="131"/>
      <c r="S30" s="131"/>
      <c r="T30" s="132"/>
      <c r="U30" s="132"/>
      <c r="V30" s="133"/>
      <c r="W30" s="134"/>
      <c r="X30" s="132"/>
    </row>
    <row r="31" spans="2:27" ht="48" customHeight="1" x14ac:dyDescent="0.35">
      <c r="B31" s="129"/>
      <c r="C31" s="129"/>
      <c r="D31" s="129"/>
      <c r="E31" s="6"/>
      <c r="F31" s="129"/>
      <c r="G31" s="129"/>
      <c r="H31" s="129"/>
      <c r="I31" s="129"/>
      <c r="J31" s="130"/>
      <c r="K31" s="130"/>
      <c r="L31" s="130"/>
      <c r="M31" s="130"/>
      <c r="N31" s="130"/>
      <c r="O31" s="130"/>
      <c r="P31" s="131"/>
      <c r="Q31" s="131"/>
      <c r="R31" s="131"/>
      <c r="S31" s="131"/>
      <c r="T31" s="132"/>
      <c r="U31" s="132"/>
      <c r="V31" s="133"/>
      <c r="W31" s="134"/>
      <c r="X31" s="132"/>
    </row>
    <row r="32" spans="2:27" ht="48" customHeight="1" x14ac:dyDescent="0.35">
      <c r="B32" s="129"/>
      <c r="C32" s="129"/>
      <c r="D32" s="129"/>
      <c r="E32" s="6"/>
      <c r="F32" s="129"/>
      <c r="G32" s="129"/>
      <c r="H32" s="129"/>
      <c r="I32" s="129"/>
      <c r="J32" s="130"/>
      <c r="K32" s="130"/>
      <c r="L32" s="130"/>
      <c r="M32" s="130"/>
      <c r="N32" s="130"/>
      <c r="O32" s="130"/>
      <c r="P32" s="131"/>
      <c r="Q32" s="131"/>
      <c r="R32" s="131"/>
      <c r="S32" s="131"/>
      <c r="T32" s="132"/>
      <c r="U32" s="132"/>
      <c r="V32" s="133"/>
      <c r="W32" s="134"/>
      <c r="X32" s="132"/>
    </row>
    <row r="33" ht="50.25" customHeight="1" x14ac:dyDescent="0.35"/>
    <row r="34" ht="50.25" customHeight="1" x14ac:dyDescent="0.35"/>
  </sheetData>
  <mergeCells count="20">
    <mergeCell ref="O7:O8"/>
    <mergeCell ref="P7:P8"/>
    <mergeCell ref="B5:H7"/>
    <mergeCell ref="I5:I7"/>
    <mergeCell ref="X5:X8"/>
    <mergeCell ref="V5:W6"/>
    <mergeCell ref="W7:W8"/>
    <mergeCell ref="V7:V8"/>
    <mergeCell ref="J5:J8"/>
    <mergeCell ref="K5:K8"/>
    <mergeCell ref="U5:U8"/>
    <mergeCell ref="T5:T8"/>
    <mergeCell ref="Q7:Q8"/>
    <mergeCell ref="R7:R8"/>
    <mergeCell ref="S7:S8"/>
    <mergeCell ref="L5:O6"/>
    <mergeCell ref="P5:S6"/>
    <mergeCell ref="L7:L8"/>
    <mergeCell ref="M7:M8"/>
    <mergeCell ref="N7:N8"/>
  </mergeCells>
  <phoneticPr fontId="26" type="noConversion"/>
  <conditionalFormatting sqref="V9:V32">
    <cfRule type="cellIs" dxfId="36" priority="619" stopIfTrue="1" operator="equal">
      <formula>"ACEPTABLE"</formula>
    </cfRule>
    <cfRule type="containsText" dxfId="35" priority="620" stopIfTrue="1" operator="containsText" text="INACEPTABLE">
      <formula>NOT(ISERROR(SEARCH("INACEPTABLE",V9)))</formula>
    </cfRule>
  </conditionalFormatting>
  <conditionalFormatting sqref="W9:W32">
    <cfRule type="cellIs" dxfId="34" priority="580" operator="equal">
      <formula>"BAJO"</formula>
    </cfRule>
    <cfRule type="cellIs" dxfId="33" priority="581" operator="equal">
      <formula>"MEDIO"</formula>
    </cfRule>
    <cfRule type="cellIs" dxfId="32" priority="582" operator="equal">
      <formula>"EXTREMO"</formula>
    </cfRule>
    <cfRule type="cellIs" dxfId="31" priority="583" operator="equal">
      <formula>"ALTO"</formula>
    </cfRule>
  </conditionalFormatting>
  <conditionalFormatting sqref="Y18:AA18">
    <cfRule type="cellIs" dxfId="30" priority="554" operator="equal">
      <formula>0</formula>
    </cfRule>
  </conditionalFormatting>
  <dataValidations count="2">
    <dataValidation allowBlank="1" showInputMessage="1" showErrorMessage="1" prompt="Calcula el Riesgo Residual:  Tomando como base el Riesgo inherente y el efecto de mitigación del control sobre el riesgo Inherente: _x000a_EXCELENTE : Mitiga el 80%_x000a_BUENO: Mitiga el 50%_x000a_BAJA: Mitiga el 10%_x000a_CRITICO: Mitiga el 0%" sqref="V5"/>
    <dataValidation allowBlank="1" showInputMessage="1" showErrorMessage="1" prompt="Calcula la incidencia del total de controles sobre el riesgo identificado." sqref="B5"/>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x14:formula1>
            <xm:f>Tablas1!$H$3:$H$6</xm:f>
          </x14:formula1>
          <xm:sqref>E9:E32</xm:sqref>
        </x14:dataValidation>
        <x14:dataValidation type="list" allowBlank="1" showInputMessage="1" showErrorMessage="1">
          <x14:formula1>
            <xm:f>Tablas1!$C$3:$C$25</xm:f>
          </x14:formula1>
          <xm:sqref>F9:F1048576</xm:sqref>
        </x14:dataValidation>
        <x14:dataValidation type="list" allowBlank="1" showInputMessage="1" showErrorMessage="1">
          <x14:formula1>
            <xm:f>Tablas1!$I$3:$I$9</xm:f>
          </x14:formula1>
          <xm:sqref>G33:G1048576</xm:sqref>
        </x14:dataValidation>
        <x14:dataValidation type="list" allowBlank="1" showInputMessage="1">
          <x14:formula1>
            <xm:f>Tablas1!$I$3:$I$9</xm:f>
          </x14:formula1>
          <xm:sqref>G9:G32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M20"/>
  <sheetViews>
    <sheetView showGridLines="0" zoomScaleNormal="100" workbookViewId="0">
      <selection activeCell="E22" sqref="E22"/>
    </sheetView>
  </sheetViews>
  <sheetFormatPr baseColWidth="10" defaultColWidth="11.54296875" defaultRowHeight="14.5" x14ac:dyDescent="0.35"/>
  <cols>
    <col min="1" max="1" width="8.1796875" customWidth="1"/>
    <col min="2" max="2" width="38.54296875" customWidth="1"/>
    <col min="3" max="3" width="16.26953125" bestFit="1" customWidth="1"/>
    <col min="4" max="4" width="17.7265625" customWidth="1"/>
    <col min="5" max="5" width="18.54296875" customWidth="1"/>
    <col min="6" max="6" width="17.81640625" customWidth="1"/>
    <col min="8" max="8" width="28.1796875" customWidth="1"/>
    <col min="9" max="9" width="13.81640625" customWidth="1"/>
    <col min="10" max="10" width="11.54296875" customWidth="1"/>
    <col min="12" max="12" width="21" customWidth="1"/>
    <col min="13" max="13" width="15.453125" customWidth="1"/>
  </cols>
  <sheetData>
    <row r="2" spans="1:13" x14ac:dyDescent="0.35">
      <c r="A2" s="45"/>
    </row>
    <row r="3" spans="1:13" x14ac:dyDescent="0.35">
      <c r="B3" s="45"/>
    </row>
    <row r="5" spans="1:13" ht="25.5" customHeight="1" x14ac:dyDescent="0.35">
      <c r="B5" s="35" t="s">
        <v>273</v>
      </c>
      <c r="C5" s="35" t="s">
        <v>103</v>
      </c>
      <c r="D5" s="35" t="s">
        <v>414</v>
      </c>
      <c r="E5" s="35" t="s">
        <v>415</v>
      </c>
      <c r="F5" s="35" t="s">
        <v>147</v>
      </c>
      <c r="G5" s="35"/>
      <c r="H5" s="35" t="s">
        <v>558</v>
      </c>
      <c r="I5" s="35" t="s">
        <v>201</v>
      </c>
      <c r="J5" s="35" t="s">
        <v>563</v>
      </c>
      <c r="L5" s="67" t="s">
        <v>416</v>
      </c>
      <c r="M5" s="67" t="s">
        <v>204</v>
      </c>
    </row>
    <row r="6" spans="1:13" s="35" customFormat="1" ht="30" customHeight="1" x14ac:dyDescent="0.35">
      <c r="B6" s="79" t="s">
        <v>11</v>
      </c>
      <c r="C6" s="119">
        <f ca="1">IFERROR(AVERAGEIF('R R'!$E$7:$G$1048576,Tableau15[[#This Row],[FACTOR DE RIESGO]],'R R'!T$7:T$1048576),"")</f>
        <v>0.7</v>
      </c>
      <c r="D6" s="119">
        <f ca="1">IFERROR(AVERAGEIF('R R'!$E$7:$G$1048576,Tableau15[[#This Row],[FACTOR DE RIESGO]],'R R'!U$7:U$1048576),"")</f>
        <v>0.7</v>
      </c>
      <c r="E6" s="18">
        <f t="shared" ref="E6:E11" ca="1" si="0">IFERROR(ROUND(C6*D6,0),"")</f>
        <v>0</v>
      </c>
      <c r="F6" s="18" t="str">
        <f t="shared" ref="F6:F11" ca="1" si="1">IF(AND(E6&gt;0,E6&lt;8),"BAJO",IF(AND(E6&gt;=8,E6&lt;14),"MEDIO",IF(AND(E6&gt;=14,E6&lt;20),"ALTO",IF(AND(E6&gt;=20,E6&lt;26),"EXTREMO",""))))</f>
        <v/>
      </c>
      <c r="H6" s="79" t="s">
        <v>14</v>
      </c>
      <c r="I6" s="124">
        <f>IFERROR(AVERAGEIF('R R'!$C$9:$C$1048576,Tableau13[[#This Row],[Proceso/Área de práctica]],'R R'!$T$9:$T$1048576),0)</f>
        <v>2</v>
      </c>
      <c r="J6" s="124">
        <f>IFERROR(AVERAGEIF('R R'!$C$9:$C$1048576,Tableau13[[#This Row],[Proceso/Área de práctica]],'R R'!$U$9:$U$1048576),0)</f>
        <v>2</v>
      </c>
      <c r="L6" s="77" t="str">
        <f>Tablas1!B27</f>
        <v>Riesgo de Contagio</v>
      </c>
      <c r="M6" s="119">
        <f>IFERROR(AVERAGE('R R'!$P$9:$P$1048576),0)</f>
        <v>1.4307692307692308</v>
      </c>
    </row>
    <row r="7" spans="1:13" s="35" customFormat="1" ht="30" customHeight="1" x14ac:dyDescent="0.35">
      <c r="B7" s="79" t="s">
        <v>17</v>
      </c>
      <c r="C7" s="119">
        <f ca="1">IFERROR(AVERAGEIF('R R'!$E$7:$G$1048576,Tableau15[[#This Row],[FACTOR DE RIESGO]],'R R'!T$7:T$1048576),"")</f>
        <v>1.5</v>
      </c>
      <c r="D7" s="119">
        <f ca="1">IFERROR(AVERAGEIF('R R'!$E$7:$G$1048576,Tableau15[[#This Row],[FACTOR DE RIESGO]],'R R'!U$7:U$1048576),"")</f>
        <v>2</v>
      </c>
      <c r="E7" s="18">
        <f t="shared" ca="1" si="0"/>
        <v>3</v>
      </c>
      <c r="F7" s="18" t="str">
        <f t="shared" ca="1" si="1"/>
        <v>BAJO</v>
      </c>
      <c r="H7" s="79" t="s">
        <v>45</v>
      </c>
      <c r="I7" s="124">
        <f>IFERROR(AVERAGEIF('R R'!$C$9:$C$1048576,Tableau13[[#This Row],[Proceso/Área de práctica]],'R R'!$T$9:$T$1048576),0)</f>
        <v>1</v>
      </c>
      <c r="J7" s="124">
        <f>IFERROR(AVERAGEIF('R R'!$C$9:$C$1048576,Tableau13[[#This Row],[Proceso/Área de práctica]],'R R'!$U$9:$U$1048576),0)</f>
        <v>1</v>
      </c>
      <c r="L7" s="77" t="str">
        <f>Tablas1!B28</f>
        <v>Riesgo Legal</v>
      </c>
      <c r="M7" s="119">
        <f>IFERROR(AVERAGE('R R'!$Q$9:$Q$1048576),0)</f>
        <v>1.5615384615384615</v>
      </c>
    </row>
    <row r="8" spans="1:13" s="35" customFormat="1" ht="30" customHeight="1" x14ac:dyDescent="0.35">
      <c r="B8" s="79" t="s">
        <v>24</v>
      </c>
      <c r="C8" s="119">
        <f ca="1">IFERROR(AVERAGEIF('R R'!$E$7:$G$1048576,Tableau15[[#This Row],[FACTOR DE RIESGO]],'R R'!T$7:T$1048576),"")</f>
        <v>1</v>
      </c>
      <c r="D8" s="119">
        <f ca="1">IFERROR(AVERAGEIF('R R'!$E$7:$G$1048576,Tableau15[[#This Row],[FACTOR DE RIESGO]],'R R'!U$7:U$1048576),"")</f>
        <v>1</v>
      </c>
      <c r="E8" s="18">
        <f t="shared" ca="1" si="0"/>
        <v>1</v>
      </c>
      <c r="F8" s="18" t="str">
        <f t="shared" ca="1" si="1"/>
        <v>BAJO</v>
      </c>
      <c r="H8" s="79" t="s">
        <v>56</v>
      </c>
      <c r="I8" s="124">
        <f>IFERROR(AVERAGEIF('R R'!$C$9:$C$1048576,Tableau13[[#This Row],[Proceso/Área de práctica]],'R R'!$T$9:$T$1048576),0)</f>
        <v>1</v>
      </c>
      <c r="J8" s="124">
        <f>IFERROR(AVERAGEIF('R R'!$C$9:$C$1048576,Tableau13[[#This Row],[Proceso/Área de práctica]],'R R'!$U$9:$U$1048576),0)</f>
        <v>1</v>
      </c>
      <c r="L8" s="77" t="str">
        <f>Tablas1!B29</f>
        <v>Riesgo Reputacional</v>
      </c>
      <c r="M8" s="119">
        <f>IFERROR(AVERAGE('R R'!$R$9:$R$1048576),0)</f>
        <v>1.6615384615384616</v>
      </c>
    </row>
    <row r="9" spans="1:13" s="35" customFormat="1" ht="30" customHeight="1" x14ac:dyDescent="0.35">
      <c r="B9" s="79" t="s">
        <v>30</v>
      </c>
      <c r="C9" s="119">
        <f ca="1">IFERROR(AVERAGEIF('R R'!$E$7:$G$1048576,Tableau15[[#This Row],[FACTOR DE RIESGO]],'R R'!T$7:T$1048576),"")</f>
        <v>1</v>
      </c>
      <c r="D9" s="119">
        <f ca="1">IFERROR(AVERAGEIF('R R'!$E$7:$G$1048576,Tableau15[[#This Row],[FACTOR DE RIESGO]],'R R'!U$7:U$1048576),"")</f>
        <v>1</v>
      </c>
      <c r="E9" s="18">
        <f t="shared" ca="1" si="0"/>
        <v>1</v>
      </c>
      <c r="F9" s="18" t="str">
        <f t="shared" ca="1" si="1"/>
        <v>BAJO</v>
      </c>
      <c r="H9" s="79" t="s">
        <v>69</v>
      </c>
      <c r="I9" s="124">
        <f>IFERROR(AVERAGEIF('R R'!$C$9:$C$1048576,Tableau13[[#This Row],[Proceso/Área de práctica]],'R R'!$T$9:$T$1048576),0)</f>
        <v>2</v>
      </c>
      <c r="J9" s="124">
        <f>IFERROR(AVERAGEIF('R R'!$C$9:$C$1048576,Tableau13[[#This Row],[Proceso/Área de práctica]],'R R'!$U$9:$U$1048576),0)</f>
        <v>3</v>
      </c>
      <c r="L9" s="77" t="str">
        <f>Tablas1!B30</f>
        <v>Riesgo Operativo</v>
      </c>
      <c r="M9" s="119">
        <f>IFERROR(AVERAGE('R R'!$S$9:$S$1048576),0)</f>
        <v>1.3538461538461539</v>
      </c>
    </row>
    <row r="10" spans="1:13" s="35" customFormat="1" ht="30" customHeight="1" x14ac:dyDescent="0.35">
      <c r="B10" s="79" t="s">
        <v>37</v>
      </c>
      <c r="C10" s="119">
        <f ca="1">IFERROR(AVERAGEIF('R R'!$E$7:$G$1048576,Tableau15[[#This Row],[FACTOR DE RIESGO]],'R R'!T$7:T$1048576),"")</f>
        <v>2</v>
      </c>
      <c r="D10" s="119">
        <f ca="1">IFERROR(AVERAGEIF('R R'!$E$7:$G$1048576,Tableau15[[#This Row],[FACTOR DE RIESGO]],'R R'!U$7:U$1048576),"")</f>
        <v>3.3333333333333335</v>
      </c>
      <c r="E10" s="18">
        <f t="shared" ca="1" si="0"/>
        <v>7</v>
      </c>
      <c r="F10" s="18" t="str">
        <f t="shared" ca="1" si="1"/>
        <v>BAJO</v>
      </c>
      <c r="H10" s="79" t="s">
        <v>64</v>
      </c>
      <c r="I10" s="124">
        <f>IFERROR(AVERAGEIF('R R'!$C$9:$C$1048576,Tableau13[[#This Row],[Proceso/Área de práctica]],'R R'!$T$9:$T$1048576),0)</f>
        <v>1</v>
      </c>
      <c r="J10" s="124">
        <f>IFERROR(AVERAGEIF('R R'!$C$9:$C$1048576,Tableau13[[#This Row],[Proceso/Área de práctica]],'R R'!$U$9:$U$1048576),0)</f>
        <v>1</v>
      </c>
    </row>
    <row r="11" spans="1:13" s="35" customFormat="1" ht="30" customHeight="1" x14ac:dyDescent="0.35">
      <c r="B11" s="79" t="s">
        <v>43</v>
      </c>
      <c r="C11" s="119">
        <f ca="1">IFERROR(AVERAGEIF('R R'!$E$7:$G$1048576,Tableau15[[#This Row],[FACTOR DE RIESGO]],'R R'!T$7:T$1048576),"")</f>
        <v>2.5</v>
      </c>
      <c r="D11" s="119">
        <f ca="1">IFERROR(AVERAGEIF('R R'!$E$7:$G$1048576,Tableau15[[#This Row],[FACTOR DE RIESGO]],'R R'!U$7:U$1048576),"")</f>
        <v>4</v>
      </c>
      <c r="E11" s="18">
        <f t="shared" ca="1" si="0"/>
        <v>10</v>
      </c>
      <c r="F11" s="18" t="str">
        <f t="shared" ca="1" si="1"/>
        <v>MEDIO</v>
      </c>
      <c r="H11" s="79" t="s">
        <v>74</v>
      </c>
      <c r="I11" s="124">
        <f>IFERROR(AVERAGEIF('R R'!$C$9:$C$1048576,Tableau13[[#This Row],[Proceso/Área de práctica]],'R R'!$T$9:$T$1048576),0)</f>
        <v>1</v>
      </c>
      <c r="J11" s="124">
        <f>IFERROR(AVERAGEIF('R R'!$C$9:$C$1048576,Tableau13[[#This Row],[Proceso/Área de práctica]],'R R'!$U$9:$U$1048576),0)</f>
        <v>1</v>
      </c>
    </row>
    <row r="12" spans="1:13" s="35" customFormat="1" ht="30" customHeight="1" x14ac:dyDescent="0.35">
      <c r="B12" s="79" t="s">
        <v>48</v>
      </c>
      <c r="C12" s="119">
        <f ca="1">IFERROR(AVERAGEIF('R R'!$E$7:$G$1048576,Tableau15[[#This Row],[FACTOR DE RIESGO]],'R R'!T$7:T$1048576),"")</f>
        <v>2.5</v>
      </c>
      <c r="D12" s="119">
        <f ca="1">IFERROR(AVERAGEIF('R R'!$E$7:$G$1048576,Tableau15[[#This Row],[FACTOR DE RIESGO]],'R R'!U$7:U$1048576),"")</f>
        <v>4</v>
      </c>
      <c r="E12" s="18">
        <f t="shared" ref="E12:E13" ca="1" si="2">IFERROR(ROUND(C12*D12,0),"")</f>
        <v>10</v>
      </c>
      <c r="F12" s="18" t="str">
        <f t="shared" ref="F12:F13" ca="1" si="3">IF(AND(E12&gt;0,E12&lt;8),"BAJO",IF(AND(E12&gt;=8,E12&lt;14),"MEDIO",IF(AND(E12&gt;=14,E12&lt;20),"ALTO",IF(AND(E12&gt;=20,E12&lt;26),"EXTREMO",""))))</f>
        <v>MEDIO</v>
      </c>
      <c r="H12" s="79" t="s">
        <v>76</v>
      </c>
      <c r="I12" s="124">
        <f>IFERROR(AVERAGEIF('R R'!$C$9:$C$1048576,Tableau13[[#This Row],[Proceso/Área de práctica]],'R R'!$T$9:$T$1048576),0)</f>
        <v>3</v>
      </c>
      <c r="J12" s="124">
        <f>IFERROR(AVERAGEIF('R R'!$C$9:$C$1048576,Tableau13[[#This Row],[Proceso/Área de práctica]],'R R'!$U$9:$U$1048576),0)</f>
        <v>2</v>
      </c>
    </row>
    <row r="13" spans="1:13" s="35" customFormat="1" ht="30" customHeight="1" x14ac:dyDescent="0.35">
      <c r="B13" s="79" t="s">
        <v>52</v>
      </c>
      <c r="C13" s="119">
        <f ca="1">IFERROR(AVERAGEIF('R R'!$E$7:$G$1048576,Tableau15[[#This Row],[FACTOR DE RIESGO]],'R R'!T$7:T$1048576),"")</f>
        <v>1.5</v>
      </c>
      <c r="D13" s="119">
        <f ca="1">IFERROR(AVERAGEIF('R R'!$E$7:$G$1048576,Tableau15[[#This Row],[FACTOR DE RIESGO]],'R R'!U$7:U$1048576),"")</f>
        <v>2</v>
      </c>
      <c r="E13" s="18">
        <f t="shared" ca="1" si="2"/>
        <v>3</v>
      </c>
      <c r="F13" s="18" t="str">
        <f t="shared" ca="1" si="3"/>
        <v>BAJO</v>
      </c>
      <c r="H13" s="79" t="s">
        <v>78</v>
      </c>
      <c r="I13" s="124">
        <f>IFERROR(AVERAGEIF('R R'!$C$9:$C$1048576,Tableau13[[#This Row],[Proceso/Área de práctica]],'R R'!$T$9:$T$1048576),0)</f>
        <v>0.4</v>
      </c>
      <c r="J13" s="124">
        <f>IFERROR(AVERAGEIF('R R'!$C$9:$C$1048576,Tableau13[[#This Row],[Proceso/Área de práctica]],'R R'!$U$9:$U$1048576),0)</f>
        <v>1</v>
      </c>
    </row>
    <row r="14" spans="1:13" s="35" customFormat="1" ht="30" customHeight="1" x14ac:dyDescent="0.35">
      <c r="H14" s="79" t="s">
        <v>9</v>
      </c>
      <c r="I14" s="124">
        <f>IFERROR(AVERAGEIF('R R'!$C$9:$C$1048576,Tableau13[[#This Row],[Proceso/Área de práctica]],'R R'!$T$9:$T$1048576),0)</f>
        <v>2</v>
      </c>
      <c r="J14" s="124">
        <f>IFERROR(AVERAGEIF('R R'!$C$9:$C$1048576,Tableau13[[#This Row],[Proceso/Área de práctica]],'R R'!$U$9:$U$1048576),0)</f>
        <v>3</v>
      </c>
    </row>
    <row r="15" spans="1:13" s="35" customFormat="1" ht="30" customHeight="1" x14ac:dyDescent="0.35">
      <c r="H15"/>
      <c r="I15"/>
      <c r="J15"/>
    </row>
    <row r="16" spans="1:13" s="35" customFormat="1" ht="30" customHeight="1" x14ac:dyDescent="0.35">
      <c r="H16"/>
      <c r="I16"/>
      <c r="J16"/>
    </row>
    <row r="17" spans="2:10" s="35" customFormat="1" ht="30" customHeight="1" x14ac:dyDescent="0.35">
      <c r="H17"/>
      <c r="I17"/>
      <c r="J17"/>
    </row>
    <row r="18" spans="2:10" s="35" customFormat="1" ht="30" customHeight="1" x14ac:dyDescent="0.35">
      <c r="B18"/>
      <c r="C18"/>
      <c r="D18"/>
      <c r="E18"/>
      <c r="F18"/>
      <c r="H18"/>
      <c r="I18"/>
      <c r="J18"/>
    </row>
    <row r="19" spans="2:10" s="35" customFormat="1" ht="30" customHeight="1" x14ac:dyDescent="0.35">
      <c r="B19"/>
      <c r="C19"/>
      <c r="D19"/>
      <c r="E19"/>
      <c r="F19"/>
      <c r="H19"/>
      <c r="I19"/>
      <c r="J19"/>
    </row>
    <row r="20" spans="2:10" s="35" customFormat="1" ht="30" customHeight="1" x14ac:dyDescent="0.35">
      <c r="B20"/>
      <c r="C20"/>
      <c r="D20"/>
      <c r="E20"/>
      <c r="F20"/>
      <c r="H20"/>
      <c r="I20"/>
      <c r="J20"/>
    </row>
  </sheetData>
  <conditionalFormatting sqref="F6:F13">
    <cfRule type="cellIs" dxfId="25" priority="6" operator="equal">
      <formula>"BAJO"</formula>
    </cfRule>
    <cfRule type="cellIs" dxfId="24" priority="7" operator="equal">
      <formula>"MEDIO"</formula>
    </cfRule>
    <cfRule type="cellIs" dxfId="23" priority="8" operator="equal">
      <formula>"EXTREMO"</formula>
    </cfRule>
    <cfRule type="cellIs" dxfId="22" priority="9" operator="equal">
      <formula>"ALTO"</formula>
    </cfRule>
  </conditionalFormatting>
  <pageMargins left="0.7" right="0.7" top="0.75" bottom="0.75" header="0.3" footer="0.3"/>
  <ignoredErrors>
    <ignoredError sqref="M6:M9" calculatedColumn="1"/>
  </ignoredErrors>
  <drawing r:id="rId1"/>
  <tableParts count="3">
    <tablePart r:id="rId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Tablas1!$H$3:$H$10</xm:f>
          </x14:formula1>
          <xm:sqref>B6:B13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R56"/>
  <sheetViews>
    <sheetView showGridLines="0" topLeftCell="A14" zoomScale="70" zoomScaleNormal="70" workbookViewId="0">
      <selection activeCell="Z34" sqref="Z34"/>
    </sheetView>
  </sheetViews>
  <sheetFormatPr baseColWidth="10" defaultColWidth="11.54296875" defaultRowHeight="14.5" x14ac:dyDescent="0.35"/>
  <cols>
    <col min="18" max="18" width="26" customWidth="1"/>
    <col min="19" max="19" width="7.26953125" customWidth="1"/>
    <col min="30" max="30" width="17.26953125" bestFit="1" customWidth="1"/>
    <col min="31" max="31" width="19" bestFit="1" customWidth="1"/>
  </cols>
  <sheetData>
    <row r="1" spans="4:44" ht="15.75" customHeight="1" x14ac:dyDescent="0.35">
      <c r="D1" s="15"/>
      <c r="E1" s="135" t="s">
        <v>564</v>
      </c>
      <c r="F1" s="136" t="s">
        <v>565</v>
      </c>
      <c r="G1" s="137"/>
      <c r="I1" s="167" t="str">
        <f>IF(Tablas1!$H$3="Factor5","",MID(Tablas1!$H$3,1,2))</f>
        <v>Pr</v>
      </c>
      <c r="J1" s="168" t="str">
        <f>Tablas1!$H$3</f>
        <v>Productos y/o servicios</v>
      </c>
      <c r="K1" s="5"/>
      <c r="L1" s="167" t="str">
        <f>IF(Tablas1!$H$7="Factor5","",MID(Tablas1!$H$7,1,2))</f>
        <v>Cl</v>
      </c>
      <c r="M1" s="168" t="str">
        <f>Tablas1!$H$7</f>
        <v>Clientes</v>
      </c>
      <c r="N1" s="5"/>
      <c r="Q1" s="43" t="str">
        <f>IF(R1=0,"",MID(R1,1,2))</f>
        <v>Ge</v>
      </c>
      <c r="R1" s="42" t="str">
        <f>IF(Tablas1!$B$23=0,"",Tablas1!$B$23)</f>
        <v>Gestión Documental y Atención de Servicio al Cliente</v>
      </c>
      <c r="T1" s="44" t="str">
        <f>MID(U1,1,1)&amp;MID(U1,10,1)</f>
        <v>Ge</v>
      </c>
      <c r="U1" s="41" t="str">
        <f>IF(Tablas1!$B$9=0,"",Tablas1!$B$9)</f>
        <v>Gestión de Comunicaciones</v>
      </c>
      <c r="W1" s="44"/>
      <c r="X1" s="41"/>
      <c r="Y1" s="44" t="str">
        <f>MID(Z1,1,1)&amp;MID(Z1,17,1)</f>
        <v>Ct</v>
      </c>
      <c r="Z1" s="41" t="str">
        <f>IF(Tablas1!$B$17=0,"",Tablas1!$B$17)</f>
        <v>Cumplimiento Gestión de LA/FT/FPADM</v>
      </c>
      <c r="AB1" s="44"/>
      <c r="AD1" s="44"/>
      <c r="AE1" s="41"/>
      <c r="AG1" s="44"/>
      <c r="AJ1" s="44"/>
      <c r="AK1" s="41"/>
      <c r="AQ1" s="44"/>
      <c r="AR1" s="41"/>
    </row>
    <row r="2" spans="4:44" ht="15.75" customHeight="1" x14ac:dyDescent="0.35">
      <c r="D2" s="15"/>
      <c r="E2" s="15"/>
      <c r="F2" s="15"/>
      <c r="G2" s="15"/>
      <c r="H2" s="15"/>
      <c r="I2" s="167" t="str">
        <f>IF(Tablas1!$H$4="Factor5","",MID(Tablas1!$H$4,1,2))</f>
        <v>Ca</v>
      </c>
      <c r="J2" s="168" t="str">
        <f>Tablas1!$H$4</f>
        <v>Canales comerciales y/o transaccionales</v>
      </c>
      <c r="K2" s="5"/>
      <c r="L2" s="167" t="str">
        <f>IF(Tablas1!$H$8="Factor6","",MID(Tablas1!$H$8,1,2))</f>
        <v>Di</v>
      </c>
      <c r="M2" s="168" t="str">
        <f>Tablas1!$H$8</f>
        <v>Distribuidores y Gestores</v>
      </c>
      <c r="N2" s="5"/>
      <c r="Q2" s="43" t="str">
        <f>MID(R2,1,1)&amp;MID(R2,3,1)</f>
        <v>Ta</v>
      </c>
      <c r="R2" s="42" t="str">
        <f>IF(Tablas1!$B$20=0,"",Tablas1!$B$20)</f>
        <v>Transversal a Todas las Áreas y/o Unidades</v>
      </c>
      <c r="T2" s="44" t="str">
        <f>MID(U2,1,2)</f>
        <v>Ge</v>
      </c>
      <c r="U2" s="41" t="str">
        <f>IF(Tablas1!$B$14=0,"",Tablas1!$B$14)</f>
        <v>Gestión de las Tecnologías y la Información</v>
      </c>
      <c r="W2" s="44"/>
      <c r="X2" s="41"/>
      <c r="Y2" s="44"/>
      <c r="Z2" s="41"/>
      <c r="AB2" s="44"/>
      <c r="AD2" s="44"/>
      <c r="AE2" s="41"/>
      <c r="AG2" s="44"/>
      <c r="AJ2" s="44"/>
      <c r="AK2" s="41"/>
      <c r="AQ2" s="44"/>
      <c r="AR2" s="41"/>
    </row>
    <row r="3" spans="4:44" ht="15" customHeight="1" x14ac:dyDescent="0.35">
      <c r="D3" s="15"/>
      <c r="E3" s="15"/>
      <c r="F3" s="15"/>
      <c r="G3" s="15"/>
      <c r="H3" s="15"/>
      <c r="I3" s="167" t="str">
        <f>IF(Tablas1!$H$5="Factor5","",MID(Tablas1!$H$5,1,2))</f>
        <v>Se</v>
      </c>
      <c r="J3" s="168" t="str">
        <f>Tablas1!$H$5</f>
        <v>Servidores Públicos, Contratistas y Contrapartes</v>
      </c>
      <c r="K3" s="5"/>
      <c r="L3" s="167" t="str">
        <f>IF(Tablas1!$H$9="Factor6","",MID(Tablas1!$H$9,1,2))</f>
        <v>Co</v>
      </c>
      <c r="M3" s="168" t="str">
        <f>Tablas1!$H$9</f>
        <v>Concesionario</v>
      </c>
      <c r="N3" s="5"/>
      <c r="Q3" s="43" t="str">
        <f>MID(R3,1,1)&amp;MID(R3,4,1)</f>
        <v>Gt</v>
      </c>
      <c r="R3" s="42" t="str">
        <f>IF(Tablas1!$B$4=0,"",Tablas1!$B$4)</f>
        <v>Gestión Financiera y Contable</v>
      </c>
      <c r="T3" s="44" t="str">
        <f>MID(U3,1,2)</f>
        <v>Su</v>
      </c>
      <c r="U3" s="41" t="str">
        <f>IF(Tablas1!$B$24=0,"",Tablas1!$B$24)</f>
        <v>Subgerencia Comercial y Gestión de Comunicaciones</v>
      </c>
      <c r="W3" s="44"/>
      <c r="X3" s="41"/>
      <c r="Y3" s="44"/>
      <c r="Z3" s="41"/>
      <c r="AB3" s="44"/>
      <c r="AD3" s="44"/>
      <c r="AE3" s="41"/>
      <c r="AJ3" s="44"/>
      <c r="AK3" s="41"/>
    </row>
    <row r="4" spans="4:44" ht="15.65" customHeight="1" x14ac:dyDescent="0.35">
      <c r="D4" s="15"/>
      <c r="E4" s="15"/>
      <c r="F4" s="15"/>
      <c r="G4" s="15"/>
      <c r="H4" s="15"/>
      <c r="I4" s="167" t="str">
        <f>IF(Tablas1!$H$6="Factor5","",MID(Tablas1!$H$6,1,2))</f>
        <v>Se</v>
      </c>
      <c r="J4" s="168" t="str">
        <f>Tablas1!$H$6</f>
        <v>Servidores Públicos y/o Contratistas</v>
      </c>
      <c r="K4" s="5"/>
      <c r="L4" s="167" t="str">
        <f>IF(Tablas1!$H$10="Factor6","",MID(Tablas1!$H$10,1,2))</f>
        <v>Co</v>
      </c>
      <c r="M4" s="168" t="str">
        <f>Tablas1!$H$10</f>
        <v>Contrapartes</v>
      </c>
      <c r="N4" s="5"/>
      <c r="Q4" s="43" t="str">
        <f>MID(R4,1,2)</f>
        <v>Ex</v>
      </c>
      <c r="R4" s="42" t="str">
        <f>IF(Tablas1!$B$21=0,"",Tablas1!$B$21)</f>
        <v>Explotación de JSA - Control Inspección y Fiscalización - Gestión de Talento Humano - Gestión de Bienes y Servicios</v>
      </c>
      <c r="T4" s="44" t="str">
        <f>MID(U4,1,1)&amp;MID(U4,17,1)</f>
        <v>ES</v>
      </c>
      <c r="U4" s="41" t="str">
        <f>IF(Tablas1!$B$22=0,"",Tablas1!$B$22)</f>
        <v>Explotación de JSA - Control Inspección y Fiscalización</v>
      </c>
      <c r="W4" s="44"/>
      <c r="X4" s="41"/>
      <c r="Y4" s="44"/>
      <c r="Z4" s="41"/>
      <c r="AB4" s="44"/>
      <c r="AD4" s="44"/>
      <c r="AE4" s="41"/>
      <c r="AJ4" s="44"/>
      <c r="AK4" s="41"/>
    </row>
    <row r="5" spans="4:44" ht="15.75" customHeight="1" x14ac:dyDescent="0.35">
      <c r="D5" s="15"/>
      <c r="E5" s="15"/>
      <c r="F5" s="15"/>
      <c r="G5" s="15"/>
      <c r="H5" s="15"/>
      <c r="P5" s="38"/>
      <c r="Q5" s="38"/>
      <c r="R5" s="38"/>
      <c r="X5" s="39"/>
      <c r="AB5" s="17"/>
    </row>
    <row r="6" spans="4:44" ht="15" customHeight="1" x14ac:dyDescent="0.35">
      <c r="D6" s="15"/>
      <c r="E6" s="15"/>
      <c r="F6" s="15"/>
      <c r="G6" s="15"/>
      <c r="H6" s="15"/>
      <c r="P6" s="38"/>
      <c r="Q6" s="38"/>
      <c r="R6" s="38"/>
      <c r="X6" s="39"/>
      <c r="AB6" s="17"/>
    </row>
    <row r="7" spans="4:44" ht="15.5" x14ac:dyDescent="0.35">
      <c r="P7" s="38"/>
      <c r="Q7" s="38"/>
      <c r="R7" s="38"/>
    </row>
    <row r="8" spans="4:44" ht="22.5" customHeight="1" x14ac:dyDescent="0.35"/>
    <row r="17" spans="1:27" ht="15.75" customHeight="1" x14ac:dyDescent="0.35"/>
    <row r="21" spans="1:27" ht="15" customHeight="1" x14ac:dyDescent="0.35"/>
    <row r="30" spans="1:27" ht="20.25" customHeight="1" x14ac:dyDescent="0.35"/>
    <row r="31" spans="1:27" ht="32.25" customHeight="1" x14ac:dyDescent="0.35">
      <c r="A31" s="250" t="s">
        <v>566</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0"/>
      <c r="AA31" s="20"/>
    </row>
    <row r="32" spans="1:27" ht="18" customHeight="1" x14ac:dyDescent="0.35"/>
    <row r="33" spans="5:44" ht="18" customHeight="1" x14ac:dyDescent="0.35"/>
    <row r="34" spans="5:44" ht="15" customHeight="1" x14ac:dyDescent="0.35">
      <c r="I34" s="167" t="str">
        <f>IF(Tablas1!$H$3="Factor5","",MID(Tablas1!$H$3,1,2))</f>
        <v>Pr</v>
      </c>
      <c r="J34" s="168" t="str">
        <f>Tablas1!$H$3</f>
        <v>Productos y/o servicios</v>
      </c>
      <c r="K34" s="5"/>
      <c r="L34" s="167" t="str">
        <f>IF(Tablas1!$H$7="Factor5","",MID(Tablas1!$H$7,1,2))</f>
        <v>Cl</v>
      </c>
      <c r="M34" s="168" t="str">
        <f>Tablas1!$H$7</f>
        <v>Clientes</v>
      </c>
      <c r="N34" s="5"/>
      <c r="Q34" s="43" t="str">
        <f>IF(R34=0,"",MID(R34,1,2))</f>
        <v>Ge</v>
      </c>
      <c r="R34" s="42" t="str">
        <f>IF(Tablas1!$B$23=0,"",Tablas1!$B$23)</f>
        <v>Gestión Documental y Atención de Servicio al Cliente</v>
      </c>
      <c r="T34" s="44" t="str">
        <f>MID(U34,1,1)&amp;MID(U34,10,1)</f>
        <v>Ge</v>
      </c>
      <c r="U34" s="41" t="str">
        <f>IF(Tablas1!$B$9=0,"",Tablas1!$B$9)</f>
        <v>Gestión de Comunicaciones</v>
      </c>
      <c r="W34" s="44"/>
      <c r="X34" s="41"/>
      <c r="Y34" s="44" t="str">
        <f>MID(Z34,1,1)&amp;MID(Z34,17,1)</f>
        <v>Ct</v>
      </c>
      <c r="Z34" s="41" t="str">
        <f>IF(Tablas1!$B$17=0,"",Tablas1!$B$17)</f>
        <v>Cumplimiento Gestión de LA/FT/FPADM</v>
      </c>
      <c r="AB34" s="44"/>
      <c r="AD34" s="44"/>
      <c r="AE34" s="41"/>
      <c r="AH34" s="44"/>
      <c r="AI34" s="41"/>
      <c r="AQ34" s="44"/>
      <c r="AR34" s="41"/>
    </row>
    <row r="35" spans="5:44" ht="15.75" customHeight="1" x14ac:dyDescent="0.35">
      <c r="I35" s="167" t="str">
        <f>IF(Tablas1!$H$4="Factor5","",MID(Tablas1!$H$4,1,2))</f>
        <v>Ca</v>
      </c>
      <c r="J35" s="168" t="str">
        <f>Tablas1!$H$4</f>
        <v>Canales comerciales y/o transaccionales</v>
      </c>
      <c r="K35" s="5"/>
      <c r="L35" s="167" t="str">
        <f>IF(Tablas1!$H$8="Factor6","",MID(Tablas1!$H$8,1,2))</f>
        <v>Di</v>
      </c>
      <c r="M35" s="168" t="str">
        <f>Tablas1!$H$8</f>
        <v>Distribuidores y Gestores</v>
      </c>
      <c r="N35" s="5"/>
      <c r="Q35" s="43" t="str">
        <f>MID(R35,1,1)&amp;MID(R35,3,1)</f>
        <v>Ta</v>
      </c>
      <c r="R35" s="42" t="str">
        <f>IF(Tablas1!$B$20=0,"",Tablas1!$B$20)</f>
        <v>Transversal a Todas las Áreas y/o Unidades</v>
      </c>
      <c r="T35" s="44" t="str">
        <f>MID(U35,1,2)</f>
        <v>Ge</v>
      </c>
      <c r="U35" s="41" t="str">
        <f>IF(Tablas1!$B$14=0,"",Tablas1!$B$14)</f>
        <v>Gestión de las Tecnologías y la Información</v>
      </c>
      <c r="W35" s="44"/>
      <c r="X35" s="41"/>
      <c r="Y35" s="44"/>
      <c r="Z35" s="41"/>
      <c r="AB35" s="44"/>
      <c r="AD35" s="44"/>
      <c r="AE35" s="41"/>
      <c r="AH35" s="44"/>
      <c r="AI35" s="41"/>
      <c r="AQ35" s="44"/>
      <c r="AR35" s="41"/>
    </row>
    <row r="36" spans="5:44" ht="15" customHeight="1" x14ac:dyDescent="0.35">
      <c r="E36" s="135" t="s">
        <v>567</v>
      </c>
      <c r="F36" s="136" t="s">
        <v>545</v>
      </c>
      <c r="G36" s="137"/>
      <c r="I36" s="167" t="str">
        <f>IF(Tablas1!$H$5="Factor5","",MID(Tablas1!$H$5,1,2))</f>
        <v>Se</v>
      </c>
      <c r="J36" s="168" t="str">
        <f>Tablas1!$H$5</f>
        <v>Servidores Públicos, Contratistas y Contrapartes</v>
      </c>
      <c r="K36" s="5"/>
      <c r="L36" s="167" t="str">
        <f>IF(Tablas1!$H$9="Factor6","",MID(Tablas1!$H$9,1,2))</f>
        <v>Co</v>
      </c>
      <c r="M36" s="168" t="str">
        <f>Tablas1!$H$9</f>
        <v>Concesionario</v>
      </c>
      <c r="N36" s="5"/>
      <c r="Q36" s="43" t="str">
        <f>MID(R36,1,1)&amp;MID(R36,4,1)</f>
        <v>Gt</v>
      </c>
      <c r="R36" s="42" t="str">
        <f>IF(Tablas1!$B$4=0,"",Tablas1!$B$4)</f>
        <v>Gestión Financiera y Contable</v>
      </c>
      <c r="T36" s="44" t="str">
        <f>MID(U36,1,2)</f>
        <v>Su</v>
      </c>
      <c r="U36" s="41" t="str">
        <f>IF(Tablas1!$B$24=0,"",Tablas1!$B$24)</f>
        <v>Subgerencia Comercial y Gestión de Comunicaciones</v>
      </c>
      <c r="W36" s="44"/>
      <c r="X36" s="41"/>
      <c r="Y36" s="44"/>
      <c r="Z36" s="41"/>
      <c r="AB36" s="44"/>
      <c r="AD36" s="44"/>
      <c r="AE36" s="41"/>
      <c r="AH36" s="44"/>
      <c r="AI36" s="41"/>
    </row>
    <row r="37" spans="5:44" ht="15" customHeight="1" x14ac:dyDescent="0.35">
      <c r="I37" s="167" t="str">
        <f>IF(Tablas1!$H$6="Factor5","",MID(Tablas1!$H$6,1,2))</f>
        <v>Se</v>
      </c>
      <c r="J37" s="168" t="str">
        <f>Tablas1!$H$6</f>
        <v>Servidores Públicos y/o Contratistas</v>
      </c>
      <c r="K37" s="5"/>
      <c r="L37" s="167" t="str">
        <f>IF(Tablas1!$H$10="Factor6","",MID(Tablas1!$H$10,1,2))</f>
        <v>Co</v>
      </c>
      <c r="M37" s="168" t="str">
        <f>Tablas1!$H$10</f>
        <v>Contrapartes</v>
      </c>
      <c r="N37" s="5"/>
      <c r="Q37" s="43" t="str">
        <f>MID(R37,1,2)</f>
        <v>Ex</v>
      </c>
      <c r="R37" s="42" t="str">
        <f>IF(Tablas1!$B$21=0,"",Tablas1!$B$21)</f>
        <v>Explotación de JSA - Control Inspección y Fiscalización - Gestión de Talento Humano - Gestión de Bienes y Servicios</v>
      </c>
      <c r="T37" s="44" t="str">
        <f>MID(U37,1,1)&amp;MID(U37,17,1)</f>
        <v>ES</v>
      </c>
      <c r="U37" s="41" t="str">
        <f>IF(Tablas1!$B$22=0,"",Tablas1!$B$22)</f>
        <v>Explotación de JSA - Control Inspección y Fiscalización</v>
      </c>
      <c r="W37" s="44"/>
      <c r="X37" s="41"/>
      <c r="Y37" s="44"/>
      <c r="Z37" s="41"/>
      <c r="AB37" s="44"/>
      <c r="AD37" s="44"/>
      <c r="AE37" s="41"/>
      <c r="AH37" s="44"/>
      <c r="AI37" s="41"/>
    </row>
    <row r="38" spans="5:44" ht="19.5" customHeight="1" x14ac:dyDescent="0.35">
      <c r="P38" s="38"/>
      <c r="Q38" s="38"/>
      <c r="R38" s="38"/>
      <c r="X38" s="39"/>
      <c r="AB38" s="17"/>
    </row>
    <row r="39" spans="5:44" ht="19.5" customHeight="1" x14ac:dyDescent="0.35"/>
    <row r="40" spans="5:44" ht="19.5" customHeight="1" x14ac:dyDescent="0.35"/>
    <row r="41" spans="5:44" ht="19.5" customHeight="1" x14ac:dyDescent="0.35"/>
    <row r="42" spans="5:44" ht="19.5" customHeight="1" x14ac:dyDescent="0.35"/>
    <row r="43" spans="5:44" ht="19.5" customHeight="1" x14ac:dyDescent="0.35"/>
    <row r="44" spans="5:44" ht="15" customHeight="1" x14ac:dyDescent="0.35"/>
    <row r="45" spans="5:44" ht="15" customHeight="1" x14ac:dyDescent="0.35"/>
    <row r="46" spans="5:44" ht="15" customHeight="1" x14ac:dyDescent="0.35"/>
    <row r="47" spans="5:44" ht="15" customHeight="1" x14ac:dyDescent="0.35"/>
    <row r="48" spans="5:44"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sheetData>
  <mergeCells count="1">
    <mergeCell ref="A31:Y31"/>
  </mergeCells>
  <conditionalFormatting sqref="L1:M1 L2:L4 L34:M34 L35:L37">
    <cfRule type="expression" dxfId="3" priority="13">
      <formula>$M$1="Factor5"</formula>
    </cfRule>
  </conditionalFormatting>
  <conditionalFormatting sqref="M2:M4 M35:M37">
    <cfRule type="expression" dxfId="2" priority="12">
      <formula>$M$2="Factor6"</formula>
    </cfRule>
  </conditionalFormatting>
  <conditionalFormatting sqref="I1:I4">
    <cfRule type="expression" dxfId="1" priority="2">
      <formula>$M$1="Factor5"</formula>
    </cfRule>
  </conditionalFormatting>
  <conditionalFormatting sqref="I34:I37">
    <cfRule type="expression" dxfId="0" priority="1">
      <formula>$M$1="Factor5"</formula>
    </cfRule>
  </conditionalFormatting>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26"/>
  <sheetViews>
    <sheetView workbookViewId="0">
      <selection activeCell="C27" sqref="C27"/>
    </sheetView>
  </sheetViews>
  <sheetFormatPr baseColWidth="10" defaultColWidth="11.54296875" defaultRowHeight="14.5" x14ac:dyDescent="0.35"/>
  <cols>
    <col min="1" max="1" width="25.81640625" customWidth="1"/>
    <col min="2" max="2" width="17.26953125" customWidth="1"/>
    <col min="3" max="3" width="31.7265625" customWidth="1"/>
    <col min="4" max="4" width="17.26953125" customWidth="1"/>
    <col min="5" max="5" width="23.26953125" customWidth="1"/>
    <col min="6" max="6" width="38" customWidth="1"/>
  </cols>
  <sheetData>
    <row r="1" spans="1:7" s="5" customFormat="1" x14ac:dyDescent="0.35">
      <c r="A1" s="7" t="s">
        <v>568</v>
      </c>
      <c r="B1" s="7" t="s">
        <v>274</v>
      </c>
      <c r="C1" s="7" t="s">
        <v>271</v>
      </c>
      <c r="D1" s="7" t="s">
        <v>569</v>
      </c>
      <c r="E1" s="7" t="s">
        <v>570</v>
      </c>
      <c r="F1" s="7" t="s">
        <v>151</v>
      </c>
      <c r="G1" s="9" t="s">
        <v>571</v>
      </c>
    </row>
    <row r="2" spans="1:7" x14ac:dyDescent="0.35">
      <c r="A2" s="13" t="s">
        <v>572</v>
      </c>
      <c r="B2" s="13" t="s">
        <v>8</v>
      </c>
      <c r="C2" s="8" t="s">
        <v>573</v>
      </c>
      <c r="D2" s="253" t="s">
        <v>8</v>
      </c>
      <c r="E2" s="8" t="s">
        <v>574</v>
      </c>
      <c r="F2" s="8" t="s">
        <v>575</v>
      </c>
      <c r="G2" s="10" t="s">
        <v>576</v>
      </c>
    </row>
    <row r="3" spans="1:7" x14ac:dyDescent="0.35">
      <c r="A3" s="8" t="s">
        <v>577</v>
      </c>
      <c r="B3" s="8" t="s">
        <v>15</v>
      </c>
      <c r="C3" s="8" t="s">
        <v>578</v>
      </c>
      <c r="D3" s="254"/>
      <c r="E3" s="8" t="s">
        <v>579</v>
      </c>
      <c r="F3" s="8" t="s">
        <v>580</v>
      </c>
      <c r="G3" s="10" t="s">
        <v>581</v>
      </c>
    </row>
    <row r="4" spans="1:7" x14ac:dyDescent="0.35">
      <c r="A4" s="8" t="s">
        <v>178</v>
      </c>
      <c r="B4" s="8" t="s">
        <v>21</v>
      </c>
      <c r="C4" s="8" t="s">
        <v>582</v>
      </c>
      <c r="D4" s="251" t="s">
        <v>15</v>
      </c>
      <c r="E4" s="8" t="s">
        <v>583</v>
      </c>
      <c r="F4" s="8" t="s">
        <v>584</v>
      </c>
      <c r="G4" s="10" t="s">
        <v>101</v>
      </c>
    </row>
    <row r="5" spans="1:7" x14ac:dyDescent="0.35">
      <c r="A5" s="8" t="s">
        <v>585</v>
      </c>
      <c r="B5" s="8" t="s">
        <v>28</v>
      </c>
      <c r="C5" s="8" t="s">
        <v>586</v>
      </c>
      <c r="D5" s="252"/>
      <c r="E5" s="8" t="s">
        <v>192</v>
      </c>
      <c r="F5" s="8" t="s">
        <v>587</v>
      </c>
      <c r="G5" s="10" t="s">
        <v>588</v>
      </c>
    </row>
    <row r="6" spans="1:7" x14ac:dyDescent="0.35">
      <c r="A6" s="8" t="s">
        <v>589</v>
      </c>
      <c r="B6" s="8" t="s">
        <v>34</v>
      </c>
      <c r="C6" s="12" t="s">
        <v>590</v>
      </c>
      <c r="D6" s="252"/>
      <c r="F6" s="8" t="s">
        <v>591</v>
      </c>
      <c r="G6" s="11" t="s">
        <v>592</v>
      </c>
    </row>
    <row r="7" spans="1:7" x14ac:dyDescent="0.35">
      <c r="A7" s="8" t="s">
        <v>593</v>
      </c>
      <c r="B7" s="8" t="s">
        <v>40</v>
      </c>
      <c r="C7" s="12" t="s">
        <v>594</v>
      </c>
      <c r="D7" s="252"/>
      <c r="F7" s="8" t="s">
        <v>595</v>
      </c>
    </row>
    <row r="8" spans="1:7" x14ac:dyDescent="0.35">
      <c r="A8" s="8" t="s">
        <v>596</v>
      </c>
      <c r="B8" s="8" t="s">
        <v>46</v>
      </c>
      <c r="C8" s="12" t="s">
        <v>597</v>
      </c>
      <c r="D8" s="252"/>
      <c r="F8" s="8" t="s">
        <v>598</v>
      </c>
    </row>
    <row r="9" spans="1:7" x14ac:dyDescent="0.35">
      <c r="C9" s="12" t="s">
        <v>599</v>
      </c>
      <c r="D9" s="252" t="s">
        <v>600</v>
      </c>
      <c r="F9" s="8" t="s">
        <v>601</v>
      </c>
    </row>
    <row r="10" spans="1:7" x14ac:dyDescent="0.35">
      <c r="C10" s="12" t="s">
        <v>602</v>
      </c>
      <c r="D10" s="252"/>
    </row>
    <row r="11" spans="1:7" x14ac:dyDescent="0.35">
      <c r="C11" s="12" t="s">
        <v>603</v>
      </c>
      <c r="D11" s="252"/>
    </row>
    <row r="12" spans="1:7" x14ac:dyDescent="0.35">
      <c r="C12" s="12" t="s">
        <v>604</v>
      </c>
      <c r="D12" s="252"/>
    </row>
    <row r="13" spans="1:7" x14ac:dyDescent="0.35">
      <c r="C13" s="12" t="s">
        <v>605</v>
      </c>
      <c r="D13" s="252"/>
    </row>
    <row r="14" spans="1:7" x14ac:dyDescent="0.35">
      <c r="C14" s="12" t="s">
        <v>606</v>
      </c>
      <c r="D14" s="252"/>
    </row>
    <row r="15" spans="1:7" x14ac:dyDescent="0.35">
      <c r="C15" s="12" t="s">
        <v>607</v>
      </c>
      <c r="D15" s="252"/>
    </row>
    <row r="16" spans="1:7" x14ac:dyDescent="0.35">
      <c r="C16" s="12" t="s">
        <v>608</v>
      </c>
      <c r="D16" s="252" t="s">
        <v>609</v>
      </c>
    </row>
    <row r="17" spans="3:4" x14ac:dyDescent="0.35">
      <c r="C17" s="12" t="s">
        <v>610</v>
      </c>
      <c r="D17" s="252"/>
    </row>
    <row r="18" spans="3:4" x14ac:dyDescent="0.35">
      <c r="C18" s="12" t="s">
        <v>611</v>
      </c>
      <c r="D18" s="252"/>
    </row>
    <row r="19" spans="3:4" x14ac:dyDescent="0.35">
      <c r="C19" s="12" t="s">
        <v>612</v>
      </c>
      <c r="D19" s="252"/>
    </row>
    <row r="20" spans="3:4" x14ac:dyDescent="0.35">
      <c r="C20" s="12" t="s">
        <v>613</v>
      </c>
      <c r="D20" s="252"/>
    </row>
    <row r="21" spans="3:4" x14ac:dyDescent="0.35">
      <c r="C21" s="12" t="s">
        <v>594</v>
      </c>
      <c r="D21" s="252"/>
    </row>
    <row r="22" spans="3:4" x14ac:dyDescent="0.35">
      <c r="C22" s="12" t="s">
        <v>614</v>
      </c>
      <c r="D22" s="252"/>
    </row>
    <row r="23" spans="3:4" x14ac:dyDescent="0.35">
      <c r="C23" s="12" t="s">
        <v>615</v>
      </c>
      <c r="D23" s="252"/>
    </row>
    <row r="24" spans="3:4" x14ac:dyDescent="0.35">
      <c r="C24" s="12" t="s">
        <v>616</v>
      </c>
      <c r="D24" s="1" t="s">
        <v>34</v>
      </c>
    </row>
    <row r="25" spans="3:4" x14ac:dyDescent="0.35">
      <c r="C25" s="12" t="s">
        <v>617</v>
      </c>
      <c r="D25" s="251" t="s">
        <v>40</v>
      </c>
    </row>
    <row r="26" spans="3:4" x14ac:dyDescent="0.35">
      <c r="C26" s="12" t="s">
        <v>618</v>
      </c>
      <c r="D26" s="252"/>
    </row>
  </sheetData>
  <mergeCells count="5">
    <mergeCell ref="D25:D26"/>
    <mergeCell ref="D16:D23"/>
    <mergeCell ref="D9:D15"/>
    <mergeCell ref="D4:D8"/>
    <mergeCell ref="D2:D3"/>
  </mergeCells>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M51"/>
  <sheetViews>
    <sheetView showGridLines="0" workbookViewId="0">
      <selection activeCell="E32" sqref="E32"/>
    </sheetView>
  </sheetViews>
  <sheetFormatPr baseColWidth="10" defaultColWidth="11.54296875" defaultRowHeight="14.5" x14ac:dyDescent="0.35"/>
  <cols>
    <col min="1" max="1" width="3.26953125" customWidth="1"/>
    <col min="2" max="2" width="45.26953125" customWidth="1"/>
    <col min="3" max="3" width="20.54296875" bestFit="1" customWidth="1"/>
    <col min="4" max="4" width="8.26953125" customWidth="1"/>
    <col min="5" max="5" width="50.7265625" bestFit="1" customWidth="1"/>
    <col min="6" max="6" width="22.7265625" customWidth="1"/>
    <col min="7" max="7" width="6.54296875" customWidth="1"/>
    <col min="8" max="8" width="46.1796875" customWidth="1"/>
    <col min="9" max="9" width="17.26953125" customWidth="1"/>
    <col min="10" max="10" width="6.7265625" customWidth="1"/>
    <col min="11" max="11" width="37.81640625" customWidth="1"/>
    <col min="13" max="13" width="18" bestFit="1" customWidth="1"/>
    <col min="15" max="15" width="37.7265625" customWidth="1"/>
    <col min="16" max="16" width="20.54296875" customWidth="1"/>
  </cols>
  <sheetData>
    <row r="1" spans="2:13" ht="57" customHeight="1" x14ac:dyDescent="0.35"/>
    <row r="2" spans="2:13" x14ac:dyDescent="0.35">
      <c r="B2" s="24" t="s">
        <v>1</v>
      </c>
      <c r="C2" t="s">
        <v>2</v>
      </c>
      <c r="D2" s="5"/>
      <c r="E2" t="s">
        <v>3</v>
      </c>
      <c r="F2" t="s">
        <v>4</v>
      </c>
      <c r="G2" s="37"/>
      <c r="H2" t="s">
        <v>5</v>
      </c>
      <c r="I2" t="s">
        <v>6</v>
      </c>
      <c r="J2" s="46"/>
      <c r="K2" s="47"/>
      <c r="L2" s="47"/>
      <c r="M2" s="47"/>
    </row>
    <row r="3" spans="2:13" x14ac:dyDescent="0.35">
      <c r="B3" s="79" t="s">
        <v>7</v>
      </c>
      <c r="C3" s="79" t="s">
        <v>8</v>
      </c>
      <c r="D3" s="35"/>
      <c r="E3" s="163" t="s">
        <v>9</v>
      </c>
      <c r="F3" s="79" t="s">
        <v>10</v>
      </c>
      <c r="G3" s="18"/>
      <c r="H3" s="79" t="s">
        <v>11</v>
      </c>
      <c r="I3" s="79" t="s">
        <v>12</v>
      </c>
      <c r="J3" s="24" t="s">
        <v>13</v>
      </c>
      <c r="K3" s="45"/>
      <c r="L3" s="45"/>
      <c r="M3" s="48"/>
    </row>
    <row r="4" spans="2:13" x14ac:dyDescent="0.35">
      <c r="B4" s="79" t="s">
        <v>14</v>
      </c>
      <c r="C4" s="79" t="s">
        <v>15</v>
      </c>
      <c r="E4" s="79" t="s">
        <v>16</v>
      </c>
      <c r="F4" s="79" t="s">
        <v>15</v>
      </c>
      <c r="G4" s="18"/>
      <c r="H4" s="79" t="s">
        <v>17</v>
      </c>
      <c r="I4" s="79" t="s">
        <v>18</v>
      </c>
      <c r="J4" s="24" t="s">
        <v>19</v>
      </c>
      <c r="K4" s="45"/>
      <c r="L4" s="45"/>
      <c r="M4" s="48"/>
    </row>
    <row r="5" spans="2:13" x14ac:dyDescent="0.35">
      <c r="B5" s="79" t="s">
        <v>20</v>
      </c>
      <c r="C5" s="79" t="s">
        <v>21</v>
      </c>
      <c r="D5" s="35"/>
      <c r="E5" s="79" t="s">
        <v>22</v>
      </c>
      <c r="F5" s="79" t="s">
        <v>23</v>
      </c>
      <c r="G5" s="18"/>
      <c r="H5" s="79" t="s">
        <v>24</v>
      </c>
      <c r="I5" s="79" t="s">
        <v>25</v>
      </c>
      <c r="J5" s="24" t="s">
        <v>26</v>
      </c>
      <c r="K5" s="45"/>
      <c r="L5" s="45"/>
      <c r="M5" s="48"/>
    </row>
    <row r="6" spans="2:13" x14ac:dyDescent="0.35">
      <c r="B6" s="79" t="s">
        <v>27</v>
      </c>
      <c r="C6" s="79" t="s">
        <v>28</v>
      </c>
      <c r="E6" s="79" t="s">
        <v>29</v>
      </c>
      <c r="F6" s="79" t="s">
        <v>23</v>
      </c>
      <c r="G6" s="18"/>
      <c r="H6" s="79" t="s">
        <v>30</v>
      </c>
      <c r="I6" s="79" t="s">
        <v>31</v>
      </c>
      <c r="J6" s="24" t="s">
        <v>32</v>
      </c>
      <c r="K6" s="45"/>
      <c r="L6" s="45"/>
      <c r="M6" s="45"/>
    </row>
    <row r="7" spans="2:13" x14ac:dyDescent="0.35">
      <c r="B7" s="79" t="s">
        <v>33</v>
      </c>
      <c r="C7" s="79" t="s">
        <v>34</v>
      </c>
      <c r="D7" s="35"/>
      <c r="E7" s="79" t="s">
        <v>35</v>
      </c>
      <c r="F7" s="79" t="s">
        <v>36</v>
      </c>
      <c r="G7" s="18"/>
      <c r="H7" s="79" t="s">
        <v>37</v>
      </c>
      <c r="I7" s="79" t="s">
        <v>38</v>
      </c>
      <c r="J7" s="24" t="str">
        <f>IF(H7="Factor5","F5",MID(H7,1,2))</f>
        <v>Cl</v>
      </c>
      <c r="K7" s="45"/>
      <c r="L7" s="45"/>
      <c r="M7" s="45"/>
    </row>
    <row r="8" spans="2:13" x14ac:dyDescent="0.35">
      <c r="B8" s="79" t="s">
        <v>39</v>
      </c>
      <c r="C8" s="79" t="s">
        <v>40</v>
      </c>
      <c r="E8" s="79" t="s">
        <v>41</v>
      </c>
      <c r="F8" s="79" t="s">
        <v>42</v>
      </c>
      <c r="G8" s="18"/>
      <c r="H8" s="79" t="s">
        <v>43</v>
      </c>
      <c r="I8" s="79" t="s">
        <v>44</v>
      </c>
      <c r="J8" s="24" t="str">
        <f>IF(H8="Factor6","F6",MID(H8,1,2))</f>
        <v>Di</v>
      </c>
      <c r="K8" s="45"/>
      <c r="L8" s="45"/>
      <c r="M8" s="45"/>
    </row>
    <row r="9" spans="2:13" x14ac:dyDescent="0.35">
      <c r="B9" s="79" t="s">
        <v>45</v>
      </c>
      <c r="C9" s="79" t="s">
        <v>46</v>
      </c>
      <c r="D9" s="35"/>
      <c r="E9" s="79" t="s">
        <v>47</v>
      </c>
      <c r="F9" s="79" t="s">
        <v>23</v>
      </c>
      <c r="G9" s="18"/>
      <c r="H9" s="79" t="s">
        <v>48</v>
      </c>
      <c r="I9" s="79" t="s">
        <v>49</v>
      </c>
      <c r="J9" s="24" t="e">
        <f>IF(#REF!="Factor7","F7",MID(#REF!,1,2))</f>
        <v>#REF!</v>
      </c>
      <c r="K9" s="45"/>
      <c r="L9" s="45"/>
      <c r="M9" s="45"/>
    </row>
    <row r="10" spans="2:13" x14ac:dyDescent="0.35">
      <c r="B10" s="79" t="s">
        <v>50</v>
      </c>
      <c r="C10" s="79" t="s">
        <v>51</v>
      </c>
      <c r="E10" s="79" t="s">
        <v>45</v>
      </c>
      <c r="F10" s="79" t="s">
        <v>46</v>
      </c>
      <c r="G10" s="18"/>
      <c r="H10" s="79" t="s">
        <v>52</v>
      </c>
      <c r="I10" s="79" t="s">
        <v>53</v>
      </c>
      <c r="J10" s="24" t="e">
        <f>IF(#REF!="Factor8","F8",MID(#REF!,1,2))</f>
        <v>#REF!</v>
      </c>
      <c r="K10" s="45"/>
      <c r="L10" s="45"/>
      <c r="M10" s="45"/>
    </row>
    <row r="11" spans="2:13" x14ac:dyDescent="0.35">
      <c r="B11" s="162" t="s">
        <v>54</v>
      </c>
      <c r="C11" s="79" t="s">
        <v>55</v>
      </c>
      <c r="D11" s="35"/>
      <c r="E11" s="79" t="s">
        <v>56</v>
      </c>
      <c r="F11" s="79" t="s">
        <v>57</v>
      </c>
      <c r="G11" s="18"/>
      <c r="H11" s="161"/>
    </row>
    <row r="12" spans="2:13" x14ac:dyDescent="0.35">
      <c r="B12" s="79" t="s">
        <v>58</v>
      </c>
      <c r="C12" s="79" t="s">
        <v>59</v>
      </c>
      <c r="E12" s="79" t="s">
        <v>60</v>
      </c>
      <c r="F12" s="79" t="s">
        <v>57</v>
      </c>
      <c r="G12" s="18"/>
      <c r="H12" s="68"/>
      <c r="I12" s="69"/>
    </row>
    <row r="13" spans="2:13" ht="15.75" customHeight="1" x14ac:dyDescent="0.35">
      <c r="B13" s="79" t="s">
        <v>61</v>
      </c>
      <c r="C13" s="79" t="s">
        <v>62</v>
      </c>
      <c r="D13" s="35"/>
      <c r="E13" s="79" t="s">
        <v>63</v>
      </c>
      <c r="F13" s="79" t="s">
        <v>40</v>
      </c>
      <c r="G13" s="18"/>
      <c r="H13" s="68"/>
      <c r="I13" s="69"/>
    </row>
    <row r="14" spans="2:13" ht="15" customHeight="1" x14ac:dyDescent="0.35">
      <c r="B14" s="79" t="s">
        <v>56</v>
      </c>
      <c r="C14" s="79" t="s">
        <v>57</v>
      </c>
      <c r="E14" s="79" t="s">
        <v>64</v>
      </c>
      <c r="F14" s="79" t="s">
        <v>65</v>
      </c>
      <c r="G14" s="18"/>
      <c r="H14" s="68"/>
      <c r="I14" s="69"/>
    </row>
    <row r="15" spans="2:13" x14ac:dyDescent="0.35">
      <c r="B15" s="79" t="s">
        <v>66</v>
      </c>
      <c r="C15" s="79" t="s">
        <v>67</v>
      </c>
      <c r="D15" s="35"/>
      <c r="G15" s="18"/>
    </row>
    <row r="16" spans="2:13" ht="15" customHeight="1" x14ac:dyDescent="0.35">
      <c r="B16" s="79" t="s">
        <v>68</v>
      </c>
      <c r="C16" s="79" t="s">
        <v>36</v>
      </c>
      <c r="G16" s="18"/>
    </row>
    <row r="17" spans="2:7" ht="15" customHeight="1" x14ac:dyDescent="0.35">
      <c r="B17" s="79" t="s">
        <v>69</v>
      </c>
      <c r="C17" s="79" t="s">
        <v>23</v>
      </c>
      <c r="D17" s="35"/>
      <c r="G17" s="18"/>
    </row>
    <row r="18" spans="2:7" ht="15" customHeight="1" x14ac:dyDescent="0.35">
      <c r="B18" s="79" t="s">
        <v>70</v>
      </c>
      <c r="C18" s="79" t="s">
        <v>71</v>
      </c>
      <c r="G18" s="18"/>
    </row>
    <row r="19" spans="2:7" ht="15" customHeight="1" x14ac:dyDescent="0.35">
      <c r="B19" s="79" t="s">
        <v>72</v>
      </c>
      <c r="C19" s="79" t="s">
        <v>73</v>
      </c>
      <c r="G19" s="18"/>
    </row>
    <row r="20" spans="2:7" ht="15" customHeight="1" x14ac:dyDescent="0.35">
      <c r="B20" s="163" t="s">
        <v>64</v>
      </c>
      <c r="C20" s="79" t="s">
        <v>65</v>
      </c>
      <c r="G20" s="18"/>
    </row>
    <row r="21" spans="2:7" ht="15" customHeight="1" x14ac:dyDescent="0.35">
      <c r="B21" s="163" t="s">
        <v>74</v>
      </c>
      <c r="C21" s="79" t="s">
        <v>75</v>
      </c>
      <c r="D21" s="5"/>
      <c r="G21" s="18"/>
    </row>
    <row r="22" spans="2:7" ht="15" customHeight="1" x14ac:dyDescent="0.35">
      <c r="B22" s="163" t="s">
        <v>76</v>
      </c>
      <c r="C22" s="79" t="s">
        <v>77</v>
      </c>
      <c r="D22" s="1"/>
      <c r="G22" s="18"/>
    </row>
    <row r="23" spans="2:7" ht="15" customHeight="1" x14ac:dyDescent="0.35">
      <c r="B23" s="163" t="s">
        <v>78</v>
      </c>
      <c r="C23" s="79" t="s">
        <v>42</v>
      </c>
      <c r="D23" s="1"/>
      <c r="G23" s="18"/>
    </row>
    <row r="24" spans="2:7" ht="15" customHeight="1" x14ac:dyDescent="0.35">
      <c r="B24" s="163" t="s">
        <v>9</v>
      </c>
      <c r="C24" s="79" t="s">
        <v>10</v>
      </c>
      <c r="D24" s="1"/>
      <c r="G24" s="18"/>
    </row>
    <row r="25" spans="2:7" ht="15" customHeight="1" x14ac:dyDescent="0.35">
      <c r="D25" s="1"/>
      <c r="G25" s="18"/>
    </row>
    <row r="26" spans="2:7" ht="15" customHeight="1" x14ac:dyDescent="0.35">
      <c r="B26" t="s">
        <v>79</v>
      </c>
      <c r="C26" t="s">
        <v>80</v>
      </c>
      <c r="D26" s="1"/>
      <c r="G26" s="18"/>
    </row>
    <row r="27" spans="2:7" ht="15" customHeight="1" x14ac:dyDescent="0.35">
      <c r="B27" s="79" t="s">
        <v>81</v>
      </c>
      <c r="C27" s="79" t="s">
        <v>82</v>
      </c>
      <c r="D27" s="1"/>
      <c r="G27" s="18"/>
    </row>
    <row r="28" spans="2:7" ht="15" customHeight="1" x14ac:dyDescent="0.35">
      <c r="B28" s="79" t="s">
        <v>83</v>
      </c>
      <c r="C28" s="79" t="s">
        <v>84</v>
      </c>
      <c r="G28" s="18"/>
    </row>
    <row r="29" spans="2:7" ht="15" customHeight="1" x14ac:dyDescent="0.35">
      <c r="B29" s="79" t="s">
        <v>85</v>
      </c>
      <c r="C29" s="79" t="s">
        <v>86</v>
      </c>
      <c r="G29" s="18"/>
    </row>
    <row r="30" spans="2:7" ht="15" customHeight="1" x14ac:dyDescent="0.35">
      <c r="B30" s="79" t="s">
        <v>87</v>
      </c>
      <c r="C30" s="79" t="s">
        <v>88</v>
      </c>
      <c r="D30" s="36"/>
      <c r="G30" s="18"/>
    </row>
    <row r="31" spans="2:7" ht="15" customHeight="1" x14ac:dyDescent="0.35">
      <c r="D31" s="18"/>
      <c r="G31" s="18"/>
    </row>
    <row r="32" spans="2:7" ht="15" customHeight="1" x14ac:dyDescent="0.35">
      <c r="B32" t="s">
        <v>89</v>
      </c>
      <c r="C32" t="s">
        <v>90</v>
      </c>
      <c r="D32" s="18"/>
      <c r="G32" s="18"/>
    </row>
    <row r="33" spans="2:7" ht="15" customHeight="1" x14ac:dyDescent="0.35">
      <c r="B33" s="79" t="s">
        <v>91</v>
      </c>
      <c r="C33" s="79" t="s">
        <v>92</v>
      </c>
      <c r="D33" s="18"/>
      <c r="G33" s="18"/>
    </row>
    <row r="34" spans="2:7" ht="15" customHeight="1" x14ac:dyDescent="0.35">
      <c r="B34" s="79" t="s">
        <v>93</v>
      </c>
      <c r="C34" s="79" t="s">
        <v>92</v>
      </c>
      <c r="D34" s="18"/>
      <c r="G34" s="18"/>
    </row>
    <row r="35" spans="2:7" ht="15" customHeight="1" x14ac:dyDescent="0.35">
      <c r="B35" s="79" t="s">
        <v>94</v>
      </c>
      <c r="C35" s="79" t="s">
        <v>95</v>
      </c>
      <c r="D35" s="1"/>
      <c r="G35" s="18"/>
    </row>
    <row r="36" spans="2:7" ht="15" customHeight="1" x14ac:dyDescent="0.35">
      <c r="B36" s="79" t="s">
        <v>96</v>
      </c>
      <c r="C36" s="79" t="s">
        <v>97</v>
      </c>
      <c r="D36" s="1"/>
      <c r="G36" s="18"/>
    </row>
    <row r="37" spans="2:7" ht="15" customHeight="1" x14ac:dyDescent="0.35">
      <c r="G37" s="18"/>
    </row>
    <row r="38" spans="2:7" ht="15" customHeight="1" x14ac:dyDescent="0.35">
      <c r="B38" s="37" t="s">
        <v>98</v>
      </c>
      <c r="G38" s="18"/>
    </row>
    <row r="39" spans="2:7" ht="15" customHeight="1" x14ac:dyDescent="0.35">
      <c r="B39" s="80" t="s">
        <v>99</v>
      </c>
      <c r="G39" s="35"/>
    </row>
    <row r="40" spans="2:7" ht="15" customHeight="1" x14ac:dyDescent="0.35">
      <c r="B40" s="80" t="s">
        <v>100</v>
      </c>
    </row>
    <row r="41" spans="2:7" ht="15" customHeight="1" x14ac:dyDescent="0.35">
      <c r="B41" s="80" t="s">
        <v>101</v>
      </c>
    </row>
    <row r="42" spans="2:7" ht="15" customHeight="1" x14ac:dyDescent="0.35">
      <c r="B42" s="1"/>
      <c r="C42" s="18"/>
    </row>
    <row r="43" spans="2:7" ht="15" customHeight="1" x14ac:dyDescent="0.35">
      <c r="B43" s="1"/>
      <c r="C43" s="1"/>
    </row>
    <row r="44" spans="2:7" ht="15" customHeight="1" x14ac:dyDescent="0.35"/>
    <row r="45" spans="2:7" ht="15" customHeight="1" x14ac:dyDescent="0.35"/>
    <row r="51" spans="2:3" x14ac:dyDescent="0.35">
      <c r="B51" s="24"/>
      <c r="C51" s="24"/>
    </row>
  </sheetData>
  <pageMargins left="0.7" right="0.7" top="0.75" bottom="0.75" header="0.3" footer="0.3"/>
  <pageSetup scale="56" fitToHeight="0" orientation="landscape" r:id="rId1"/>
  <ignoredErrors>
    <ignoredError sqref="J9:J10" evalError="1"/>
  </ignoredErrors>
  <drawing r:id="rId2"/>
  <tableParts count="6">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1:T40"/>
  <sheetViews>
    <sheetView showGridLines="0" showRowColHeaders="0" zoomScale="90" zoomScaleNormal="90" workbookViewId="0"/>
  </sheetViews>
  <sheetFormatPr baseColWidth="10" defaultColWidth="11.54296875" defaultRowHeight="14.5" x14ac:dyDescent="0.35"/>
  <cols>
    <col min="1" max="1" width="3.26953125" customWidth="1"/>
    <col min="3" max="3" width="16.54296875" customWidth="1"/>
    <col min="4" max="5" width="20.54296875" customWidth="1"/>
    <col min="6" max="6" width="20.81640625" customWidth="1"/>
    <col min="7" max="7" width="2" customWidth="1"/>
    <col min="9" max="9" width="21.1796875" customWidth="1"/>
    <col min="10" max="13" width="27.7265625" customWidth="1"/>
    <col min="14" max="14" width="79.7265625" customWidth="1"/>
    <col min="16" max="16" width="31.1796875" customWidth="1"/>
    <col min="17" max="17" width="25.26953125" customWidth="1"/>
    <col min="18" max="18" width="27.7265625" customWidth="1"/>
    <col min="19" max="19" width="28.1796875" customWidth="1"/>
  </cols>
  <sheetData>
    <row r="1" spans="2:20" ht="40.5" customHeight="1" x14ac:dyDescent="0.35"/>
    <row r="2" spans="2:20" ht="15.5" x14ac:dyDescent="0.35">
      <c r="H2" s="176" t="s">
        <v>102</v>
      </c>
      <c r="I2" s="176"/>
      <c r="J2" s="176"/>
      <c r="K2" s="176"/>
      <c r="L2" s="176"/>
      <c r="M2" s="176"/>
      <c r="T2" s="77"/>
    </row>
    <row r="3" spans="2:20" ht="26" x14ac:dyDescent="0.35">
      <c r="B3" s="188" t="s">
        <v>103</v>
      </c>
      <c r="C3" s="189"/>
      <c r="D3" s="189"/>
      <c r="E3" s="189"/>
      <c r="F3" s="190"/>
      <c r="H3" s="178" t="s">
        <v>104</v>
      </c>
      <c r="I3" s="177" t="s">
        <v>105</v>
      </c>
      <c r="J3" s="81" t="s">
        <v>106</v>
      </c>
      <c r="K3" s="81" t="s">
        <v>107</v>
      </c>
      <c r="L3" s="81" t="s">
        <v>108</v>
      </c>
      <c r="M3" s="81" t="s">
        <v>109</v>
      </c>
      <c r="T3" s="77"/>
    </row>
    <row r="4" spans="2:20" ht="26.25" customHeight="1" x14ac:dyDescent="0.35">
      <c r="B4" s="81" t="s">
        <v>104</v>
      </c>
      <c r="C4" s="81" t="s">
        <v>110</v>
      </c>
      <c r="D4" s="185" t="s">
        <v>111</v>
      </c>
      <c r="E4" s="186"/>
      <c r="F4" s="187"/>
      <c r="H4" s="179"/>
      <c r="I4" s="177"/>
      <c r="J4" s="82">
        <v>0.25</v>
      </c>
      <c r="K4" s="82">
        <v>0.25</v>
      </c>
      <c r="L4" s="82">
        <v>0.25</v>
      </c>
      <c r="M4" s="82">
        <v>0.25</v>
      </c>
      <c r="T4" s="77"/>
    </row>
    <row r="5" spans="2:20" ht="63" customHeight="1" x14ac:dyDescent="0.35">
      <c r="B5" s="140">
        <v>1</v>
      </c>
      <c r="C5" s="140" t="s">
        <v>112</v>
      </c>
      <c r="D5" s="171" t="s">
        <v>113</v>
      </c>
      <c r="E5" s="171"/>
      <c r="F5" s="171"/>
      <c r="H5" s="83">
        <v>1</v>
      </c>
      <c r="I5" s="83" t="s">
        <v>114</v>
      </c>
      <c r="J5" s="83" t="s">
        <v>115</v>
      </c>
      <c r="K5" s="83" t="s">
        <v>116</v>
      </c>
      <c r="L5" s="83" t="s">
        <v>117</v>
      </c>
      <c r="M5" s="83" t="s">
        <v>118</v>
      </c>
      <c r="T5" s="77"/>
    </row>
    <row r="6" spans="2:20" ht="67.5" customHeight="1" x14ac:dyDescent="0.35">
      <c r="B6" s="141">
        <v>2</v>
      </c>
      <c r="C6" s="141" t="s">
        <v>119</v>
      </c>
      <c r="D6" s="181" t="s">
        <v>120</v>
      </c>
      <c r="E6" s="182"/>
      <c r="F6" s="183"/>
      <c r="H6" s="83">
        <v>2</v>
      </c>
      <c r="I6" s="83" t="s">
        <v>121</v>
      </c>
      <c r="J6" s="83" t="s">
        <v>122</v>
      </c>
      <c r="K6" s="83" t="s">
        <v>123</v>
      </c>
      <c r="L6" s="83" t="s">
        <v>124</v>
      </c>
      <c r="M6" s="83" t="s">
        <v>125</v>
      </c>
      <c r="T6" s="77"/>
    </row>
    <row r="7" spans="2:20" ht="70.5" customHeight="1" x14ac:dyDescent="0.35">
      <c r="B7" s="142">
        <v>3</v>
      </c>
      <c r="C7" s="142" t="s">
        <v>126</v>
      </c>
      <c r="D7" s="181" t="s">
        <v>127</v>
      </c>
      <c r="E7" s="182"/>
      <c r="F7" s="183"/>
      <c r="H7" s="83">
        <v>3</v>
      </c>
      <c r="I7" s="83" t="s">
        <v>128</v>
      </c>
      <c r="J7" s="83" t="s">
        <v>129</v>
      </c>
      <c r="K7" s="83" t="s">
        <v>130</v>
      </c>
      <c r="L7" s="83" t="s">
        <v>131</v>
      </c>
      <c r="M7" s="83" t="s">
        <v>132</v>
      </c>
      <c r="T7" s="77"/>
    </row>
    <row r="8" spans="2:20" ht="91.5" customHeight="1" x14ac:dyDescent="0.35">
      <c r="B8" s="143">
        <v>4</v>
      </c>
      <c r="C8" s="143" t="s">
        <v>133</v>
      </c>
      <c r="D8" s="181" t="s">
        <v>134</v>
      </c>
      <c r="E8" s="182"/>
      <c r="F8" s="183"/>
      <c r="H8" s="83">
        <v>4</v>
      </c>
      <c r="I8" s="83" t="s">
        <v>135</v>
      </c>
      <c r="J8" s="83" t="s">
        <v>136</v>
      </c>
      <c r="K8" s="83" t="s">
        <v>137</v>
      </c>
      <c r="L8" s="83" t="s">
        <v>138</v>
      </c>
      <c r="M8" s="83" t="s">
        <v>139</v>
      </c>
      <c r="T8" s="77"/>
    </row>
    <row r="9" spans="2:20" ht="75" customHeight="1" x14ac:dyDescent="0.35">
      <c r="B9" s="144">
        <v>5</v>
      </c>
      <c r="C9" s="144" t="s">
        <v>140</v>
      </c>
      <c r="D9" s="181" t="s">
        <v>141</v>
      </c>
      <c r="E9" s="182"/>
      <c r="F9" s="183"/>
      <c r="H9" s="83">
        <v>5</v>
      </c>
      <c r="I9" s="83" t="s">
        <v>142</v>
      </c>
      <c r="J9" s="83" t="s">
        <v>143</v>
      </c>
      <c r="K9" s="83" t="s">
        <v>144</v>
      </c>
      <c r="L9" s="83" t="s">
        <v>145</v>
      </c>
      <c r="M9" s="83" t="s">
        <v>146</v>
      </c>
      <c r="T9" s="77"/>
    </row>
    <row r="10" spans="2:20" ht="12" customHeight="1" x14ac:dyDescent="0.35">
      <c r="B10" s="84"/>
      <c r="C10" s="85"/>
      <c r="D10" s="184"/>
      <c r="E10" s="184"/>
      <c r="F10" s="184"/>
      <c r="H10" s="35"/>
      <c r="I10" s="35"/>
      <c r="J10" s="77"/>
      <c r="K10" s="77"/>
      <c r="L10" s="77"/>
      <c r="T10" s="77"/>
    </row>
    <row r="11" spans="2:20" ht="12" customHeight="1" x14ac:dyDescent="0.35">
      <c r="H11" s="35"/>
      <c r="I11" s="35"/>
      <c r="J11" s="77"/>
      <c r="K11" s="77"/>
      <c r="L11" s="77"/>
      <c r="T11" s="77"/>
    </row>
    <row r="12" spans="2:20" ht="12" customHeight="1" x14ac:dyDescent="0.35"/>
    <row r="13" spans="2:20" ht="9.75" hidden="1" customHeight="1" x14ac:dyDescent="0.35"/>
    <row r="14" spans="2:20" ht="37.5" customHeight="1" x14ac:dyDescent="0.35">
      <c r="B14" s="64" t="s">
        <v>147</v>
      </c>
      <c r="C14" s="64" t="s">
        <v>148</v>
      </c>
      <c r="D14" s="173" t="s">
        <v>149</v>
      </c>
      <c r="E14" s="173"/>
      <c r="F14" s="173"/>
      <c r="I14" s="18" t="s">
        <v>150</v>
      </c>
      <c r="J14" s="18" t="s">
        <v>82</v>
      </c>
      <c r="K14" s="18" t="s">
        <v>84</v>
      </c>
      <c r="L14" s="18" t="s">
        <v>86</v>
      </c>
      <c r="M14" s="18" t="s">
        <v>88</v>
      </c>
      <c r="N14" s="18" t="s">
        <v>151</v>
      </c>
    </row>
    <row r="15" spans="2:20" ht="49.5" customHeight="1" x14ac:dyDescent="0.35">
      <c r="B15" s="174" t="s">
        <v>91</v>
      </c>
      <c r="C15" s="70">
        <v>1</v>
      </c>
      <c r="D15" s="171" t="s">
        <v>92</v>
      </c>
      <c r="E15" s="172" t="s">
        <v>152</v>
      </c>
      <c r="F15" s="172"/>
      <c r="I15" s="18" t="s">
        <v>153</v>
      </c>
      <c r="J15" s="18" t="s">
        <v>154</v>
      </c>
      <c r="K15" s="18" t="s">
        <v>154</v>
      </c>
      <c r="L15" s="18" t="s">
        <v>154</v>
      </c>
      <c r="M15" s="18" t="s">
        <v>154</v>
      </c>
      <c r="N15" s="50" t="s">
        <v>155</v>
      </c>
    </row>
    <row r="16" spans="2:20" ht="47.25" customHeight="1" x14ac:dyDescent="0.35">
      <c r="B16" s="174"/>
      <c r="C16" s="70">
        <v>2</v>
      </c>
      <c r="D16" s="171"/>
      <c r="E16" s="172"/>
      <c r="F16" s="172"/>
      <c r="I16" s="18" t="s">
        <v>156</v>
      </c>
      <c r="J16" s="18" t="s">
        <v>154</v>
      </c>
      <c r="K16" s="18" t="s">
        <v>154</v>
      </c>
      <c r="L16" s="18"/>
      <c r="M16" s="18" t="s">
        <v>154</v>
      </c>
      <c r="N16" s="50" t="s">
        <v>155</v>
      </c>
      <c r="O16" s="50"/>
    </row>
    <row r="17" spans="2:15" ht="54" customHeight="1" x14ac:dyDescent="0.35">
      <c r="B17" s="174"/>
      <c r="C17" s="70">
        <v>3</v>
      </c>
      <c r="D17" s="171"/>
      <c r="E17" s="172"/>
      <c r="F17" s="172"/>
      <c r="I17" s="18" t="s">
        <v>157</v>
      </c>
      <c r="J17" s="18" t="s">
        <v>154</v>
      </c>
      <c r="K17" s="18"/>
      <c r="L17" s="18" t="s">
        <v>154</v>
      </c>
      <c r="M17" s="18" t="s">
        <v>154</v>
      </c>
      <c r="N17" s="50" t="s">
        <v>155</v>
      </c>
      <c r="O17" s="50"/>
    </row>
    <row r="18" spans="2:15" ht="41.25" customHeight="1" x14ac:dyDescent="0.35">
      <c r="B18" s="174"/>
      <c r="C18" s="70">
        <v>4</v>
      </c>
      <c r="D18" s="171"/>
      <c r="E18" s="172"/>
      <c r="F18" s="172"/>
      <c r="I18" s="18" t="s">
        <v>156</v>
      </c>
      <c r="J18" s="18" t="s">
        <v>154</v>
      </c>
      <c r="K18" s="18" t="s">
        <v>154</v>
      </c>
      <c r="L18" s="18"/>
      <c r="M18" s="18" t="s">
        <v>154</v>
      </c>
      <c r="N18" s="50" t="s">
        <v>155</v>
      </c>
      <c r="O18" s="50"/>
    </row>
    <row r="19" spans="2:15" ht="41.25" customHeight="1" x14ac:dyDescent="0.35">
      <c r="B19" s="174"/>
      <c r="C19" s="70">
        <v>5</v>
      </c>
      <c r="D19" s="171"/>
      <c r="E19" s="172"/>
      <c r="F19" s="172"/>
      <c r="I19" s="18" t="s">
        <v>158</v>
      </c>
      <c r="J19" s="18" t="s">
        <v>154</v>
      </c>
      <c r="K19" s="18" t="s">
        <v>154</v>
      </c>
      <c r="L19" s="18" t="s">
        <v>154</v>
      </c>
      <c r="M19" s="18"/>
      <c r="N19" s="50" t="s">
        <v>155</v>
      </c>
      <c r="O19" s="50"/>
    </row>
    <row r="20" spans="2:15" ht="42" customHeight="1" x14ac:dyDescent="0.35">
      <c r="B20" s="174"/>
      <c r="C20" s="70">
        <v>6</v>
      </c>
      <c r="D20" s="171"/>
      <c r="E20" s="172"/>
      <c r="F20" s="172"/>
      <c r="I20" s="18" t="s">
        <v>159</v>
      </c>
      <c r="J20" s="18"/>
      <c r="K20" s="18" t="s">
        <v>154</v>
      </c>
      <c r="L20" s="18" t="s">
        <v>154</v>
      </c>
      <c r="M20" s="18" t="s">
        <v>154</v>
      </c>
      <c r="N20" s="50" t="s">
        <v>160</v>
      </c>
      <c r="O20" s="50"/>
    </row>
    <row r="21" spans="2:15" ht="41.25" customHeight="1" x14ac:dyDescent="0.35">
      <c r="B21" s="174"/>
      <c r="C21" s="70">
        <v>7</v>
      </c>
      <c r="D21" s="171"/>
      <c r="E21" s="172"/>
      <c r="F21" s="172"/>
      <c r="I21" s="18" t="s">
        <v>161</v>
      </c>
      <c r="J21" s="18"/>
      <c r="K21" s="18" t="s">
        <v>154</v>
      </c>
      <c r="L21" s="18"/>
      <c r="M21" s="18" t="s">
        <v>154</v>
      </c>
      <c r="N21" s="50" t="s">
        <v>160</v>
      </c>
      <c r="O21" s="50"/>
    </row>
    <row r="22" spans="2:15" ht="31.5" customHeight="1" x14ac:dyDescent="0.35">
      <c r="B22" s="175" t="s">
        <v>93</v>
      </c>
      <c r="C22" s="70">
        <v>8</v>
      </c>
      <c r="D22" s="171" t="s">
        <v>92</v>
      </c>
      <c r="E22" s="172" t="s">
        <v>162</v>
      </c>
      <c r="F22" s="172"/>
      <c r="I22" s="18" t="s">
        <v>163</v>
      </c>
      <c r="J22" s="18"/>
      <c r="K22" s="18"/>
      <c r="L22" s="18"/>
      <c r="M22" s="18" t="s">
        <v>154</v>
      </c>
      <c r="N22" s="50" t="s">
        <v>164</v>
      </c>
      <c r="O22" s="50"/>
    </row>
    <row r="23" spans="2:15" ht="31.5" customHeight="1" x14ac:dyDescent="0.35">
      <c r="B23" s="175"/>
      <c r="C23" s="70">
        <v>9</v>
      </c>
      <c r="D23" s="171"/>
      <c r="E23" s="172"/>
      <c r="F23" s="172"/>
      <c r="I23" s="152" t="s">
        <v>165</v>
      </c>
      <c r="J23" s="18"/>
      <c r="K23" s="18"/>
      <c r="L23" s="18" t="s">
        <v>154</v>
      </c>
      <c r="M23" s="18" t="s">
        <v>154</v>
      </c>
      <c r="N23" s="50" t="s">
        <v>166</v>
      </c>
      <c r="O23" s="50"/>
    </row>
    <row r="24" spans="2:15" ht="31.5" customHeight="1" x14ac:dyDescent="0.35">
      <c r="B24" s="175"/>
      <c r="C24" s="70">
        <v>10</v>
      </c>
      <c r="D24" s="171"/>
      <c r="E24" s="172"/>
      <c r="F24" s="172"/>
      <c r="I24" s="18" t="s">
        <v>167</v>
      </c>
      <c r="J24" s="18"/>
      <c r="K24" s="18"/>
      <c r="L24" s="18"/>
      <c r="M24" s="18"/>
      <c r="N24" s="50" t="s">
        <v>168</v>
      </c>
      <c r="O24" s="50"/>
    </row>
    <row r="25" spans="2:15" ht="31.5" customHeight="1" x14ac:dyDescent="0.35">
      <c r="B25" s="175"/>
      <c r="C25" s="70">
        <v>11</v>
      </c>
      <c r="D25" s="171"/>
      <c r="E25" s="172"/>
      <c r="F25" s="172"/>
      <c r="I25" s="18" t="s">
        <v>169</v>
      </c>
      <c r="J25" s="18"/>
      <c r="K25" s="18" t="s">
        <v>154</v>
      </c>
      <c r="L25" s="18" t="s">
        <v>154</v>
      </c>
      <c r="M25" s="18"/>
      <c r="N25" s="50" t="s">
        <v>170</v>
      </c>
      <c r="O25" s="50"/>
    </row>
    <row r="26" spans="2:15" ht="31.5" customHeight="1" x14ac:dyDescent="0.35">
      <c r="B26" s="175"/>
      <c r="C26" s="70">
        <v>12</v>
      </c>
      <c r="D26" s="171"/>
      <c r="E26" s="172"/>
      <c r="F26" s="172"/>
    </row>
    <row r="27" spans="2:15" ht="31.5" customHeight="1" x14ac:dyDescent="0.35">
      <c r="B27" s="175"/>
      <c r="C27" s="70">
        <v>13</v>
      </c>
      <c r="D27" s="171"/>
      <c r="E27" s="172"/>
      <c r="F27" s="172"/>
    </row>
    <row r="28" spans="2:15" ht="31.5" customHeight="1" x14ac:dyDescent="0.35">
      <c r="B28" s="180" t="s">
        <v>94</v>
      </c>
      <c r="C28" s="70">
        <v>14</v>
      </c>
      <c r="D28" s="171" t="s">
        <v>95</v>
      </c>
      <c r="E28" s="172" t="s">
        <v>171</v>
      </c>
      <c r="F28" s="172"/>
    </row>
    <row r="29" spans="2:15" ht="31.5" customHeight="1" x14ac:dyDescent="0.35">
      <c r="B29" s="180"/>
      <c r="C29" s="70">
        <v>15</v>
      </c>
      <c r="D29" s="171"/>
      <c r="E29" s="172"/>
      <c r="F29" s="172"/>
    </row>
    <row r="30" spans="2:15" ht="31.5" customHeight="1" x14ac:dyDescent="0.35">
      <c r="B30" s="180"/>
      <c r="C30" s="70">
        <v>16</v>
      </c>
      <c r="D30" s="171"/>
      <c r="E30" s="172"/>
      <c r="F30" s="172"/>
    </row>
    <row r="31" spans="2:15" ht="31.5" customHeight="1" x14ac:dyDescent="0.35">
      <c r="B31" s="180"/>
      <c r="C31" s="70">
        <v>17</v>
      </c>
      <c r="D31" s="171"/>
      <c r="E31" s="172"/>
      <c r="F31" s="172"/>
    </row>
    <row r="32" spans="2:15" ht="31.5" customHeight="1" x14ac:dyDescent="0.35">
      <c r="B32" s="180"/>
      <c r="C32" s="70">
        <v>18</v>
      </c>
      <c r="D32" s="171"/>
      <c r="E32" s="172"/>
      <c r="F32" s="172"/>
    </row>
    <row r="33" spans="2:6" ht="31.5" customHeight="1" x14ac:dyDescent="0.35">
      <c r="B33" s="180"/>
      <c r="C33" s="70">
        <v>19</v>
      </c>
      <c r="D33" s="171"/>
      <c r="E33" s="172"/>
      <c r="F33" s="172"/>
    </row>
    <row r="34" spans="2:6" ht="31.5" customHeight="1" x14ac:dyDescent="0.35">
      <c r="B34" s="170" t="s">
        <v>96</v>
      </c>
      <c r="C34" s="70">
        <v>20</v>
      </c>
      <c r="D34" s="171" t="s">
        <v>97</v>
      </c>
      <c r="E34" s="172" t="s">
        <v>172</v>
      </c>
      <c r="F34" s="172"/>
    </row>
    <row r="35" spans="2:6" ht="31.5" customHeight="1" x14ac:dyDescent="0.35">
      <c r="B35" s="170"/>
      <c r="C35" s="70">
        <v>21</v>
      </c>
      <c r="D35" s="171"/>
      <c r="E35" s="172"/>
      <c r="F35" s="172"/>
    </row>
    <row r="36" spans="2:6" ht="31.5" customHeight="1" x14ac:dyDescent="0.35">
      <c r="B36" s="170"/>
      <c r="C36" s="70">
        <v>22</v>
      </c>
      <c r="D36" s="171"/>
      <c r="E36" s="172"/>
      <c r="F36" s="172"/>
    </row>
    <row r="37" spans="2:6" ht="31.5" customHeight="1" x14ac:dyDescent="0.35">
      <c r="B37" s="170"/>
      <c r="C37" s="70">
        <v>23</v>
      </c>
      <c r="D37" s="171"/>
      <c r="E37" s="172"/>
      <c r="F37" s="172"/>
    </row>
    <row r="38" spans="2:6" ht="31.5" customHeight="1" x14ac:dyDescent="0.35">
      <c r="B38" s="170"/>
      <c r="C38" s="70">
        <v>24</v>
      </c>
      <c r="D38" s="171"/>
      <c r="E38" s="172"/>
      <c r="F38" s="172"/>
    </row>
    <row r="39" spans="2:6" ht="31.5" customHeight="1" x14ac:dyDescent="0.35">
      <c r="B39" s="170"/>
      <c r="C39" s="70">
        <v>25</v>
      </c>
      <c r="D39" s="171"/>
      <c r="E39" s="172"/>
      <c r="F39" s="172"/>
    </row>
    <row r="40" spans="2:6" ht="31.5" customHeight="1" x14ac:dyDescent="0.35"/>
  </sheetData>
  <mergeCells count="24">
    <mergeCell ref="H2:M2"/>
    <mergeCell ref="I3:I4"/>
    <mergeCell ref="H3:H4"/>
    <mergeCell ref="B28:B33"/>
    <mergeCell ref="D28:D33"/>
    <mergeCell ref="E28:F33"/>
    <mergeCell ref="D9:F9"/>
    <mergeCell ref="D8:F8"/>
    <mergeCell ref="D10:F10"/>
    <mergeCell ref="D4:F4"/>
    <mergeCell ref="B3:F3"/>
    <mergeCell ref="D5:F5"/>
    <mergeCell ref="D6:F6"/>
    <mergeCell ref="D7:F7"/>
    <mergeCell ref="B34:B39"/>
    <mergeCell ref="D34:D39"/>
    <mergeCell ref="E34:F39"/>
    <mergeCell ref="D14:F14"/>
    <mergeCell ref="B15:B21"/>
    <mergeCell ref="D15:D21"/>
    <mergeCell ref="E15:F21"/>
    <mergeCell ref="B22:B27"/>
    <mergeCell ref="D22:D27"/>
    <mergeCell ref="E22:F27"/>
  </mergeCells>
  <dataValidations disablePrompts="1" count="1">
    <dataValidation type="list" allowBlank="1" showInputMessage="1" showErrorMessage="1" sqref="J15:M23">
      <formula1>"X"</formula1>
    </dataValidation>
  </dataValidations>
  <pageMargins left="0.7" right="0.7" top="0.75" bottom="0.75" header="0.3" footer="0.3"/>
  <pageSetup orientation="portrait" horizontalDpi="4294967293"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J15" sqref="J15"/>
    </sheetView>
  </sheetViews>
  <sheetFormatPr baseColWidth="10" defaultColWidth="11.453125" defaultRowHeight="14.5" x14ac:dyDescent="0.35"/>
  <cols>
    <col min="1" max="1" width="26.81640625" customWidth="1"/>
    <col min="2" max="2" width="13.453125" customWidth="1"/>
    <col min="3" max="3" width="12.54296875" customWidth="1"/>
    <col min="4" max="4" width="16" customWidth="1"/>
    <col min="5" max="5" width="17.1796875" customWidth="1"/>
    <col min="6" max="6" width="16.7265625" customWidth="1"/>
    <col min="7" max="7" width="15.1796875" customWidth="1"/>
    <col min="8" max="8" width="17.81640625" customWidth="1"/>
  </cols>
  <sheetData>
    <row r="1" spans="1:8" x14ac:dyDescent="0.35">
      <c r="A1" t="s">
        <v>173</v>
      </c>
      <c r="B1" t="s">
        <v>3</v>
      </c>
      <c r="C1" t="s">
        <v>174</v>
      </c>
      <c r="D1" t="s">
        <v>175</v>
      </c>
      <c r="E1" t="s">
        <v>176</v>
      </c>
      <c r="F1" t="s">
        <v>2</v>
      </c>
      <c r="G1" t="s">
        <v>80</v>
      </c>
      <c r="H1" t="s">
        <v>177</v>
      </c>
    </row>
    <row r="2" spans="1:8" x14ac:dyDescent="0.35">
      <c r="A2" t="s">
        <v>178</v>
      </c>
      <c r="B2" t="s">
        <v>178</v>
      </c>
      <c r="C2">
        <v>32</v>
      </c>
      <c r="D2" t="s">
        <v>179</v>
      </c>
      <c r="E2" t="s">
        <v>180</v>
      </c>
      <c r="F2" t="s">
        <v>51</v>
      </c>
      <c r="G2" t="s">
        <v>49</v>
      </c>
      <c r="H2" t="s">
        <v>181</v>
      </c>
    </row>
    <row r="3" spans="1:8" x14ac:dyDescent="0.35">
      <c r="A3" t="s">
        <v>182</v>
      </c>
      <c r="B3" t="s">
        <v>182</v>
      </c>
      <c r="C3">
        <v>1</v>
      </c>
      <c r="D3" t="s">
        <v>179</v>
      </c>
      <c r="E3" t="s">
        <v>37</v>
      </c>
      <c r="F3" t="s">
        <v>8</v>
      </c>
      <c r="G3" t="s">
        <v>12</v>
      </c>
      <c r="H3" t="s">
        <v>183</v>
      </c>
    </row>
    <row r="4" spans="1:8" x14ac:dyDescent="0.35">
      <c r="A4" t="s">
        <v>182</v>
      </c>
      <c r="B4" t="s">
        <v>182</v>
      </c>
      <c r="C4">
        <v>2</v>
      </c>
      <c r="D4" t="s">
        <v>179</v>
      </c>
      <c r="E4" t="s">
        <v>184</v>
      </c>
      <c r="F4" t="s">
        <v>8</v>
      </c>
      <c r="G4" t="s">
        <v>18</v>
      </c>
      <c r="H4" t="s">
        <v>185</v>
      </c>
    </row>
    <row r="5" spans="1:8" x14ac:dyDescent="0.35">
      <c r="A5" t="s">
        <v>182</v>
      </c>
      <c r="B5" t="s">
        <v>182</v>
      </c>
      <c r="C5">
        <v>3</v>
      </c>
      <c r="D5" t="s">
        <v>179</v>
      </c>
      <c r="E5" t="s">
        <v>186</v>
      </c>
      <c r="F5" t="s">
        <v>8</v>
      </c>
      <c r="G5" t="s">
        <v>25</v>
      </c>
      <c r="H5" t="s">
        <v>187</v>
      </c>
    </row>
    <row r="6" spans="1:8" x14ac:dyDescent="0.35">
      <c r="A6" t="s">
        <v>182</v>
      </c>
      <c r="B6" t="s">
        <v>182</v>
      </c>
      <c r="C6">
        <v>4</v>
      </c>
      <c r="D6" t="s">
        <v>179</v>
      </c>
      <c r="E6" t="s">
        <v>188</v>
      </c>
      <c r="F6" t="s">
        <v>8</v>
      </c>
      <c r="G6" t="s">
        <v>31</v>
      </c>
      <c r="H6" t="s">
        <v>189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F16" sqref="F16"/>
    </sheetView>
  </sheetViews>
  <sheetFormatPr baseColWidth="10" defaultColWidth="11.453125" defaultRowHeight="14.5" x14ac:dyDescent="0.35"/>
  <cols>
    <col min="1" max="1" width="26.81640625" customWidth="1"/>
    <col min="2" max="2" width="13.453125" customWidth="1"/>
    <col min="3" max="3" width="12.54296875" customWidth="1"/>
    <col min="4" max="4" width="16" customWidth="1"/>
    <col min="5" max="5" width="17.1796875" customWidth="1"/>
    <col min="6" max="6" width="16.7265625" customWidth="1"/>
    <col min="7" max="7" width="15.1796875" customWidth="1"/>
    <col min="8" max="8" width="17.81640625" customWidth="1"/>
  </cols>
  <sheetData>
    <row r="1" spans="1:8" x14ac:dyDescent="0.35">
      <c r="A1" t="s">
        <v>173</v>
      </c>
      <c r="B1" t="s">
        <v>3</v>
      </c>
      <c r="C1" t="s">
        <v>174</v>
      </c>
      <c r="D1" t="s">
        <v>175</v>
      </c>
      <c r="E1" t="s">
        <v>176</v>
      </c>
      <c r="F1" t="s">
        <v>2</v>
      </c>
      <c r="G1" t="s">
        <v>80</v>
      </c>
      <c r="H1" t="s">
        <v>177</v>
      </c>
    </row>
    <row r="2" spans="1:8" x14ac:dyDescent="0.35">
      <c r="A2" t="s">
        <v>178</v>
      </c>
      <c r="B2" t="s">
        <v>178</v>
      </c>
      <c r="C2">
        <v>33</v>
      </c>
      <c r="D2" t="s">
        <v>190</v>
      </c>
      <c r="E2" t="s">
        <v>17</v>
      </c>
      <c r="F2" t="s">
        <v>51</v>
      </c>
      <c r="G2" t="s">
        <v>38</v>
      </c>
      <c r="H2" t="s">
        <v>191</v>
      </c>
    </row>
    <row r="3" spans="1:8" x14ac:dyDescent="0.35">
      <c r="A3" t="s">
        <v>182</v>
      </c>
      <c r="B3" t="s">
        <v>182</v>
      </c>
      <c r="C3">
        <v>5</v>
      </c>
      <c r="D3" t="s">
        <v>190</v>
      </c>
      <c r="E3" t="s">
        <v>192</v>
      </c>
      <c r="F3" t="s">
        <v>8</v>
      </c>
      <c r="G3" t="s">
        <v>44</v>
      </c>
      <c r="H3" t="s">
        <v>193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D14" sqref="D14"/>
    </sheetView>
  </sheetViews>
  <sheetFormatPr baseColWidth="10" defaultColWidth="11.453125" defaultRowHeight="14.5" x14ac:dyDescent="0.35"/>
  <cols>
    <col min="1" max="1" width="26.81640625" customWidth="1"/>
    <col min="2" max="2" width="13.453125" customWidth="1"/>
    <col min="3" max="3" width="12.54296875" customWidth="1"/>
    <col min="4" max="4" width="16" customWidth="1"/>
    <col min="5" max="5" width="17.1796875" customWidth="1"/>
    <col min="6" max="6" width="16.7265625" customWidth="1"/>
    <col min="7" max="7" width="15.1796875" customWidth="1"/>
    <col min="8" max="8" width="17.81640625" customWidth="1"/>
  </cols>
  <sheetData>
    <row r="1" spans="1:8" x14ac:dyDescent="0.35">
      <c r="A1" t="s">
        <v>173</v>
      </c>
      <c r="B1" t="s">
        <v>3</v>
      </c>
      <c r="C1" t="s">
        <v>174</v>
      </c>
      <c r="D1" t="s">
        <v>175</v>
      </c>
      <c r="E1" t="s">
        <v>176</v>
      </c>
      <c r="F1" t="s">
        <v>2</v>
      </c>
      <c r="G1" t="s">
        <v>80</v>
      </c>
      <c r="H1" t="s">
        <v>177</v>
      </c>
    </row>
    <row r="2" spans="1:8" x14ac:dyDescent="0.35">
      <c r="A2" t="s">
        <v>178</v>
      </c>
      <c r="B2" t="s">
        <v>178</v>
      </c>
      <c r="C2">
        <v>32</v>
      </c>
      <c r="D2" t="s">
        <v>179</v>
      </c>
      <c r="E2" t="s">
        <v>180</v>
      </c>
      <c r="F2" t="s">
        <v>51</v>
      </c>
      <c r="G2" t="s">
        <v>49</v>
      </c>
      <c r="H2" t="s">
        <v>181</v>
      </c>
    </row>
    <row r="3" spans="1:8" x14ac:dyDescent="0.35">
      <c r="A3" t="s">
        <v>182</v>
      </c>
      <c r="B3" t="s">
        <v>182</v>
      </c>
      <c r="C3">
        <v>1</v>
      </c>
      <c r="D3" t="s">
        <v>179</v>
      </c>
      <c r="E3" t="s">
        <v>37</v>
      </c>
      <c r="F3" t="s">
        <v>8</v>
      </c>
      <c r="G3" t="s">
        <v>12</v>
      </c>
      <c r="H3" t="s">
        <v>183</v>
      </c>
    </row>
    <row r="4" spans="1:8" x14ac:dyDescent="0.35">
      <c r="A4" t="s">
        <v>182</v>
      </c>
      <c r="B4" t="s">
        <v>182</v>
      </c>
      <c r="C4">
        <v>2</v>
      </c>
      <c r="D4" t="s">
        <v>179</v>
      </c>
      <c r="E4" t="s">
        <v>184</v>
      </c>
      <c r="F4" t="s">
        <v>8</v>
      </c>
      <c r="G4" t="s">
        <v>18</v>
      </c>
      <c r="H4" t="s">
        <v>185</v>
      </c>
    </row>
    <row r="5" spans="1:8" x14ac:dyDescent="0.35">
      <c r="A5" t="s">
        <v>182</v>
      </c>
      <c r="B5" t="s">
        <v>182</v>
      </c>
      <c r="C5">
        <v>3</v>
      </c>
      <c r="D5" t="s">
        <v>179</v>
      </c>
      <c r="E5" t="s">
        <v>186</v>
      </c>
      <c r="F5" t="s">
        <v>8</v>
      </c>
      <c r="G5" t="s">
        <v>25</v>
      </c>
      <c r="H5" t="s">
        <v>187</v>
      </c>
    </row>
    <row r="6" spans="1:8" x14ac:dyDescent="0.35">
      <c r="A6" t="s">
        <v>182</v>
      </c>
      <c r="B6" t="s">
        <v>182</v>
      </c>
      <c r="C6">
        <v>4</v>
      </c>
      <c r="D6" t="s">
        <v>179</v>
      </c>
      <c r="E6" t="s">
        <v>188</v>
      </c>
      <c r="F6" t="s">
        <v>8</v>
      </c>
      <c r="G6" t="s">
        <v>31</v>
      </c>
      <c r="H6" t="s">
        <v>189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sqref="A1:H3"/>
    </sheetView>
  </sheetViews>
  <sheetFormatPr baseColWidth="10" defaultColWidth="11.453125" defaultRowHeight="14.5" x14ac:dyDescent="0.35"/>
  <cols>
    <col min="1" max="1" width="26.81640625" customWidth="1"/>
    <col min="2" max="2" width="13.453125" customWidth="1"/>
    <col min="3" max="3" width="12.54296875" customWidth="1"/>
    <col min="4" max="4" width="16" customWidth="1"/>
    <col min="5" max="5" width="17.1796875" customWidth="1"/>
    <col min="6" max="6" width="16.7265625" customWidth="1"/>
    <col min="7" max="7" width="15.1796875" customWidth="1"/>
    <col min="8" max="8" width="17.81640625" customWidth="1"/>
  </cols>
  <sheetData>
    <row r="1" spans="1:8" x14ac:dyDescent="0.35">
      <c r="A1" t="s">
        <v>173</v>
      </c>
      <c r="B1" t="s">
        <v>3</v>
      </c>
      <c r="C1" t="s">
        <v>174</v>
      </c>
      <c r="D1" t="s">
        <v>175</v>
      </c>
      <c r="E1" t="s">
        <v>176</v>
      </c>
      <c r="F1" t="s">
        <v>2</v>
      </c>
      <c r="G1" t="s">
        <v>80</v>
      </c>
      <c r="H1" t="s">
        <v>177</v>
      </c>
    </row>
    <row r="2" spans="1:8" x14ac:dyDescent="0.35">
      <c r="A2" t="s">
        <v>178</v>
      </c>
      <c r="B2" t="s">
        <v>178</v>
      </c>
      <c r="C2">
        <v>28</v>
      </c>
      <c r="D2" t="s">
        <v>194</v>
      </c>
      <c r="E2" t="s">
        <v>188</v>
      </c>
      <c r="F2" t="s">
        <v>51</v>
      </c>
      <c r="G2" t="s">
        <v>31</v>
      </c>
      <c r="H2" t="s">
        <v>195</v>
      </c>
    </row>
    <row r="3" spans="1:8" x14ac:dyDescent="0.35">
      <c r="A3" t="s">
        <v>182</v>
      </c>
      <c r="B3" t="s">
        <v>182</v>
      </c>
      <c r="C3">
        <v>7</v>
      </c>
      <c r="D3" t="s">
        <v>194</v>
      </c>
      <c r="E3" t="s">
        <v>17</v>
      </c>
      <c r="F3" t="s">
        <v>8</v>
      </c>
      <c r="G3" t="s">
        <v>38</v>
      </c>
      <c r="H3" t="s">
        <v>191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sqref="A1:H2"/>
    </sheetView>
  </sheetViews>
  <sheetFormatPr baseColWidth="10" defaultColWidth="11.453125" defaultRowHeight="14.5" x14ac:dyDescent="0.35"/>
  <cols>
    <col min="1" max="1" width="26.81640625" customWidth="1"/>
    <col min="2" max="2" width="13.453125" customWidth="1"/>
    <col min="3" max="3" width="12.54296875" customWidth="1"/>
    <col min="4" max="4" width="16" customWidth="1"/>
    <col min="5" max="5" width="17.1796875" customWidth="1"/>
    <col min="6" max="6" width="16.7265625" customWidth="1"/>
    <col min="7" max="7" width="15.1796875" customWidth="1"/>
    <col min="8" max="8" width="17.81640625" customWidth="1"/>
  </cols>
  <sheetData>
    <row r="1" spans="1:8" x14ac:dyDescent="0.35">
      <c r="A1" t="s">
        <v>173</v>
      </c>
      <c r="B1" t="s">
        <v>3</v>
      </c>
      <c r="C1" t="s">
        <v>174</v>
      </c>
      <c r="D1" t="s">
        <v>175</v>
      </c>
      <c r="E1" t="s">
        <v>176</v>
      </c>
      <c r="F1" t="s">
        <v>2</v>
      </c>
      <c r="G1" t="s">
        <v>80</v>
      </c>
      <c r="H1" t="s">
        <v>177</v>
      </c>
    </row>
    <row r="2" spans="1:8" x14ac:dyDescent="0.35">
      <c r="A2" t="s">
        <v>178</v>
      </c>
      <c r="B2" t="s">
        <v>178</v>
      </c>
      <c r="C2">
        <v>31</v>
      </c>
      <c r="D2" t="s">
        <v>196</v>
      </c>
      <c r="E2" t="s">
        <v>184</v>
      </c>
      <c r="F2" t="s">
        <v>51</v>
      </c>
      <c r="G2" t="s">
        <v>18</v>
      </c>
      <c r="H2" t="s">
        <v>197</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F0"/>
  </sheetPr>
  <dimension ref="B1:AM19"/>
  <sheetViews>
    <sheetView zoomScale="70" zoomScaleNormal="40" zoomScalePageLayoutView="32" workbookViewId="0">
      <selection activeCell="C7" sqref="C7"/>
    </sheetView>
  </sheetViews>
  <sheetFormatPr baseColWidth="10" defaultColWidth="11.26953125" defaultRowHeight="13" x14ac:dyDescent="0.3"/>
  <cols>
    <col min="1" max="1" width="2.26953125" style="3" customWidth="1"/>
    <col min="2" max="2" width="10.81640625" style="3" hidden="1" customWidth="1"/>
    <col min="3" max="3" width="20.54296875" style="6" customWidth="1"/>
    <col min="4" max="4" width="22.26953125" style="6" customWidth="1"/>
    <col min="5" max="5" width="17.26953125" style="6" customWidth="1"/>
    <col min="6" max="6" width="14.54296875" style="6" customWidth="1"/>
    <col min="7" max="7" width="13.81640625" style="6" customWidth="1"/>
    <col min="8" max="8" width="21.7265625" style="6" customWidth="1"/>
    <col min="9" max="9" width="20.81640625" style="6" customWidth="1"/>
    <col min="10" max="10" width="48.26953125" style="138" customWidth="1"/>
    <col min="11" max="11" width="6.54296875" style="2" customWidth="1"/>
    <col min="12" max="12" width="6.1796875" style="2" customWidth="1"/>
    <col min="13" max="13" width="7.1796875" style="2" customWidth="1"/>
    <col min="14" max="14" width="6.7265625" style="2" customWidth="1"/>
    <col min="15" max="15" width="36.1796875" style="3" customWidth="1"/>
    <col min="16" max="16" width="28.1796875" style="3" customWidth="1"/>
    <col min="17" max="17" width="5.81640625" style="3" customWidth="1"/>
    <col min="18" max="18" width="4.81640625" style="3" hidden="1" customWidth="1"/>
    <col min="19" max="22" width="6.7265625" style="3" hidden="1" customWidth="1"/>
    <col min="23" max="27" width="6.7265625" style="3" customWidth="1"/>
    <col min="28" max="28" width="8.26953125" style="4" customWidth="1"/>
    <col min="29" max="29" width="16" style="4" customWidth="1"/>
    <col min="30" max="30" width="17.54296875" style="21" customWidth="1"/>
    <col min="31" max="31" width="26.81640625" style="21" customWidth="1"/>
    <col min="32" max="32" width="17.7265625" style="21" customWidth="1"/>
    <col min="33" max="33" width="38.7265625" style="23" customWidth="1"/>
    <col min="34" max="34" width="9" style="23" customWidth="1"/>
    <col min="35" max="35" width="27.7265625" style="21" bestFit="1" customWidth="1"/>
    <col min="36" max="36" width="17.26953125" style="21" customWidth="1"/>
    <col min="37" max="37" width="18.1796875" style="21" bestFit="1" customWidth="1"/>
    <col min="38" max="38" width="11.26953125" style="21"/>
    <col min="39" max="39" width="27.7265625" style="3" bestFit="1" customWidth="1"/>
    <col min="40" max="41" width="15.1796875" style="3" customWidth="1"/>
    <col min="42" max="16384" width="11.26953125" style="3"/>
  </cols>
  <sheetData>
    <row r="1" spans="2:39" x14ac:dyDescent="0.3">
      <c r="AB1" s="3"/>
      <c r="AC1" s="3"/>
    </row>
    <row r="2" spans="2:39" ht="63.75" customHeight="1" x14ac:dyDescent="0.35">
      <c r="C2" s="16"/>
      <c r="D2" s="191" t="s">
        <v>198</v>
      </c>
      <c r="E2" s="191"/>
      <c r="F2" s="191"/>
      <c r="G2" s="191"/>
      <c r="H2" s="191"/>
      <c r="I2" s="191"/>
      <c r="J2" s="191"/>
      <c r="K2" s="191"/>
      <c r="L2" s="191"/>
      <c r="M2" s="191"/>
      <c r="N2" s="191"/>
      <c r="O2" s="191"/>
      <c r="P2" s="191"/>
      <c r="Q2" s="192" t="s">
        <v>199</v>
      </c>
      <c r="R2" s="192"/>
      <c r="S2" s="192"/>
      <c r="T2" s="192"/>
      <c r="U2" s="192"/>
      <c r="V2" s="192"/>
      <c r="W2" s="192"/>
      <c r="X2" s="192"/>
      <c r="Y2" s="192"/>
      <c r="Z2" s="192"/>
      <c r="AA2" s="192"/>
      <c r="AB2" s="192"/>
      <c r="AC2" s="192"/>
      <c r="AH2" s="34"/>
      <c r="AI2" s="65" t="s">
        <v>200</v>
      </c>
      <c r="AJ2" s="65" t="s">
        <v>201</v>
      </c>
      <c r="AK2" s="65" t="s">
        <v>202</v>
      </c>
      <c r="AL2" s="22"/>
    </row>
    <row r="3" spans="2:39" ht="27" customHeight="1" x14ac:dyDescent="0.3">
      <c r="B3" s="196" t="s">
        <v>203</v>
      </c>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I3" s="49" t="s">
        <v>204</v>
      </c>
      <c r="AJ3" s="40">
        <f>AVERAGE(Q7:Q1048576)</f>
        <v>3.6153846153846154</v>
      </c>
      <c r="AK3" s="40">
        <f>AVERAGE(AA7:AA1048576)</f>
        <v>4.3782051282051286</v>
      </c>
    </row>
    <row r="4" spans="2:39" ht="24.75" customHeight="1" x14ac:dyDescent="0.3">
      <c r="B4" s="194" t="s">
        <v>205</v>
      </c>
      <c r="C4" s="194"/>
      <c r="D4" s="194"/>
      <c r="E4" s="194"/>
      <c r="F4" s="194"/>
      <c r="G4" s="194"/>
      <c r="H4" s="194"/>
      <c r="I4" s="194"/>
      <c r="J4" s="194"/>
      <c r="K4" s="194" t="s">
        <v>206</v>
      </c>
      <c r="L4" s="194"/>
      <c r="M4" s="194"/>
      <c r="N4" s="194"/>
      <c r="O4" s="194"/>
      <c r="P4" s="194"/>
      <c r="Q4" s="198" t="s">
        <v>207</v>
      </c>
      <c r="R4" s="199"/>
      <c r="S4" s="199"/>
      <c r="T4" s="199"/>
      <c r="U4" s="199"/>
      <c r="V4" s="199"/>
      <c r="W4" s="199"/>
      <c r="X4" s="199"/>
      <c r="Y4" s="199"/>
      <c r="Z4" s="199"/>
      <c r="AA4" s="199"/>
      <c r="AB4" s="199"/>
      <c r="AC4" s="199"/>
      <c r="AM4" s="21"/>
    </row>
    <row r="5" spans="2:39" ht="46.5" customHeight="1" x14ac:dyDescent="0.3">
      <c r="B5" s="193" t="s">
        <v>208</v>
      </c>
      <c r="C5" s="193" t="s">
        <v>209</v>
      </c>
      <c r="D5" s="193" t="s">
        <v>3</v>
      </c>
      <c r="E5" s="193" t="s">
        <v>174</v>
      </c>
      <c r="F5" s="193" t="s">
        <v>175</v>
      </c>
      <c r="G5" s="193" t="s">
        <v>176</v>
      </c>
      <c r="H5" s="193" t="s">
        <v>2</v>
      </c>
      <c r="I5" s="193" t="s">
        <v>80</v>
      </c>
      <c r="J5" s="193" t="s">
        <v>177</v>
      </c>
      <c r="K5" s="193" t="s">
        <v>210</v>
      </c>
      <c r="L5" s="193"/>
      <c r="M5" s="193"/>
      <c r="N5" s="193"/>
      <c r="O5" s="193" t="s">
        <v>211</v>
      </c>
      <c r="P5" s="193" t="s">
        <v>212</v>
      </c>
      <c r="Q5" s="195" t="s">
        <v>201</v>
      </c>
      <c r="R5" s="195" t="s">
        <v>213</v>
      </c>
      <c r="S5" s="193" t="s">
        <v>214</v>
      </c>
      <c r="T5" s="193"/>
      <c r="U5" s="193"/>
      <c r="V5" s="193"/>
      <c r="W5" s="193" t="s">
        <v>215</v>
      </c>
      <c r="X5" s="193"/>
      <c r="Y5" s="193"/>
      <c r="Z5" s="193"/>
      <c r="AA5" s="195" t="s">
        <v>216</v>
      </c>
      <c r="AB5" s="195" t="s">
        <v>217</v>
      </c>
      <c r="AC5" s="197" t="s">
        <v>218</v>
      </c>
      <c r="AL5" s="29"/>
      <c r="AM5" s="21"/>
    </row>
    <row r="6" spans="2:39" ht="44.25" customHeight="1" x14ac:dyDescent="0.3">
      <c r="B6" s="193"/>
      <c r="C6" s="193"/>
      <c r="D6" s="193"/>
      <c r="E6" s="193"/>
      <c r="F6" s="193"/>
      <c r="G6" s="193"/>
      <c r="H6" s="193"/>
      <c r="I6" s="193"/>
      <c r="J6" s="193"/>
      <c r="K6" s="90" t="s">
        <v>82</v>
      </c>
      <c r="L6" s="90" t="s">
        <v>84</v>
      </c>
      <c r="M6" s="90" t="s">
        <v>86</v>
      </c>
      <c r="N6" s="90" t="s">
        <v>88</v>
      </c>
      <c r="O6" s="193"/>
      <c r="P6" s="193"/>
      <c r="Q6" s="195"/>
      <c r="R6" s="195"/>
      <c r="S6" s="90" t="s">
        <v>82</v>
      </c>
      <c r="T6" s="90" t="s">
        <v>84</v>
      </c>
      <c r="U6" s="90" t="s">
        <v>86</v>
      </c>
      <c r="V6" s="90" t="s">
        <v>88</v>
      </c>
      <c r="W6" s="90" t="s">
        <v>82</v>
      </c>
      <c r="X6" s="90" t="s">
        <v>84</v>
      </c>
      <c r="Y6" s="90" t="s">
        <v>86</v>
      </c>
      <c r="Z6" s="90" t="s">
        <v>88</v>
      </c>
      <c r="AA6" s="195"/>
      <c r="AB6" s="195"/>
      <c r="AC6" s="197"/>
      <c r="AL6" s="30"/>
      <c r="AM6" s="21"/>
    </row>
    <row r="7" spans="2:39" ht="181" customHeight="1" x14ac:dyDescent="0.3">
      <c r="B7" s="71"/>
      <c r="C7" s="71" t="s">
        <v>78</v>
      </c>
      <c r="D7" s="71" t="s">
        <v>41</v>
      </c>
      <c r="E7" s="71">
        <f t="shared" ref="E7:E9" si="0">ROW(C7)-6</f>
        <v>1</v>
      </c>
      <c r="F7" s="71" t="s">
        <v>219</v>
      </c>
      <c r="G7" s="71" t="s">
        <v>11</v>
      </c>
      <c r="H7" s="88" t="str">
        <f>IFERROR(VLOOKUP($C7,Tablas1!$B$3:$C$25,2,0),"ERROR")</f>
        <v>LAFT21</v>
      </c>
      <c r="I7" s="89" t="str">
        <f>IFERROR(VLOOKUP(G7,Tablas1!$H$2:$I$10,2,0),"ERROR")</f>
        <v>FAC1</v>
      </c>
      <c r="J7" s="88" t="s">
        <v>220</v>
      </c>
      <c r="K7" s="73"/>
      <c r="L7" s="73" t="s">
        <v>154</v>
      </c>
      <c r="M7" s="73" t="s">
        <v>154</v>
      </c>
      <c r="N7" s="73" t="s">
        <v>154</v>
      </c>
      <c r="O7" s="71" t="s">
        <v>221</v>
      </c>
      <c r="P7" s="72" t="s">
        <v>222</v>
      </c>
      <c r="Q7" s="70">
        <v>2</v>
      </c>
      <c r="R7" s="72">
        <f t="shared" ref="R7" si="1">COUNTIF(K7:N7,"X")</f>
        <v>3</v>
      </c>
      <c r="S7" s="78">
        <f t="shared" ref="S7" si="2">IF(K7="X",$W7/$R7,0)</f>
        <v>0</v>
      </c>
      <c r="T7" s="78">
        <f t="shared" ref="T7" si="3">IF(L7="X",$X7/$R7,0)</f>
        <v>1.6666666666666667</v>
      </c>
      <c r="U7" s="78">
        <f t="shared" ref="U7" si="4">IF(M7="X",$Y7/$R7,0)</f>
        <v>1.3333333333333333</v>
      </c>
      <c r="V7" s="78">
        <f t="shared" ref="V7" si="5">IF(N7="X",$Z7/$R7,0)</f>
        <v>1.6666666666666667</v>
      </c>
      <c r="W7" s="86">
        <v>1</v>
      </c>
      <c r="X7" s="86">
        <v>5</v>
      </c>
      <c r="Y7" s="86">
        <v>4</v>
      </c>
      <c r="Z7" s="86">
        <v>5</v>
      </c>
      <c r="AA7" s="87">
        <f t="shared" ref="AA7:AA14" si="6">SUM(S7:V7)</f>
        <v>4.666666666666667</v>
      </c>
      <c r="AB7" s="74">
        <f t="shared" ref="AB7:AB14" si="7">Q7*AA7</f>
        <v>9.3333333333333339</v>
      </c>
      <c r="AC7" s="127" t="str">
        <f t="shared" ref="AC7:AC14" si="8">IF(AND(AB7&gt;0,AB7&lt;8),"BAJO",IF(AND(AB7&gt;=8,AB7&lt;14),"MEDIO",IF(AND(AB7&gt;=14,AB7&lt;20),"ALTO",IF(AND(AB7&gt;=20,AB7&lt;26),"EXTREMO",""))))</f>
        <v>MEDIO</v>
      </c>
    </row>
    <row r="8" spans="2:39" ht="186" customHeight="1" x14ac:dyDescent="0.3">
      <c r="B8" s="71"/>
      <c r="C8" s="71" t="s">
        <v>64</v>
      </c>
      <c r="D8" s="71" t="s">
        <v>63</v>
      </c>
      <c r="E8" s="71">
        <f t="shared" si="0"/>
        <v>2</v>
      </c>
      <c r="F8" s="71" t="s">
        <v>223</v>
      </c>
      <c r="G8" s="71" t="s">
        <v>52</v>
      </c>
      <c r="H8" s="88" t="str">
        <f>IFERROR(VLOOKUP($C8,Tablas1!$B$3:$C$25,2,0),"ERROR")</f>
        <v>LAFT18</v>
      </c>
      <c r="I8" s="89" t="str">
        <f>IFERROR(VLOOKUP(G8,Tablas1!$H$2:$I$10,2,0),"ERROR")</f>
        <v>FAC8</v>
      </c>
      <c r="J8" s="139" t="s">
        <v>224</v>
      </c>
      <c r="K8" s="73" t="s">
        <v>154</v>
      </c>
      <c r="L8" s="73" t="s">
        <v>154</v>
      </c>
      <c r="M8" s="73" t="s">
        <v>154</v>
      </c>
      <c r="N8" s="73" t="s">
        <v>154</v>
      </c>
      <c r="O8" s="128" t="s">
        <v>225</v>
      </c>
      <c r="P8" s="72" t="s">
        <v>226</v>
      </c>
      <c r="Q8" s="70">
        <v>4</v>
      </c>
      <c r="R8" s="72">
        <f t="shared" ref="R8" si="9">COUNTIF(K8:N8,"X")</f>
        <v>4</v>
      </c>
      <c r="S8" s="78">
        <f t="shared" ref="S8" si="10">IF(K8="X",$W8/$R8,0)</f>
        <v>0.75</v>
      </c>
      <c r="T8" s="78">
        <f t="shared" ref="T8" si="11">IF(L8="X",$X8/$R8,0)</f>
        <v>1.25</v>
      </c>
      <c r="U8" s="78">
        <f t="shared" ref="U8" si="12">IF(M8="X",$Y8/$R8,0)</f>
        <v>1.25</v>
      </c>
      <c r="V8" s="78">
        <f t="shared" ref="V8" si="13">IF(N8="X",$Z8/$R8,0)</f>
        <v>1.25</v>
      </c>
      <c r="W8" s="86">
        <v>3</v>
      </c>
      <c r="X8" s="86">
        <v>5</v>
      </c>
      <c r="Y8" s="86">
        <v>5</v>
      </c>
      <c r="Z8" s="86">
        <v>5</v>
      </c>
      <c r="AA8" s="87">
        <f t="shared" si="6"/>
        <v>4.5</v>
      </c>
      <c r="AB8" s="74">
        <f t="shared" si="7"/>
        <v>18</v>
      </c>
      <c r="AC8" s="127" t="str">
        <f t="shared" si="8"/>
        <v>ALTO</v>
      </c>
    </row>
    <row r="9" spans="2:39" ht="190" customHeight="1" x14ac:dyDescent="0.3">
      <c r="B9" s="71"/>
      <c r="C9" s="71" t="s">
        <v>14</v>
      </c>
      <c r="D9" s="71" t="s">
        <v>16</v>
      </c>
      <c r="E9" s="71">
        <f t="shared" si="0"/>
        <v>3</v>
      </c>
      <c r="F9" s="71" t="s">
        <v>227</v>
      </c>
      <c r="G9" s="71" t="s">
        <v>17</v>
      </c>
      <c r="H9" s="88" t="str">
        <f>IFERROR(VLOOKUP($C9,Tablas1!$B$3:$C$25,2,0),"ERROR")</f>
        <v>LAFT2</v>
      </c>
      <c r="I9" s="89" t="str">
        <f>IFERROR(VLOOKUP(G9,Tablas1!$H$2:$I$10,2,0),"ERROR")</f>
        <v>FAC2</v>
      </c>
      <c r="J9" s="139" t="s">
        <v>228</v>
      </c>
      <c r="K9" s="73" t="s">
        <v>154</v>
      </c>
      <c r="L9" s="73" t="s">
        <v>154</v>
      </c>
      <c r="M9" s="73" t="s">
        <v>154</v>
      </c>
      <c r="N9" s="73" t="s">
        <v>154</v>
      </c>
      <c r="O9" s="128" t="s">
        <v>229</v>
      </c>
      <c r="P9" s="72" t="s">
        <v>230</v>
      </c>
      <c r="Q9" s="70">
        <v>3</v>
      </c>
      <c r="R9" s="72">
        <f t="shared" ref="R9" si="14">COUNTIF(K9:N9,"X")</f>
        <v>4</v>
      </c>
      <c r="S9" s="78">
        <f t="shared" ref="S9" si="15">IF(K9="X",$W9/$R9,0)</f>
        <v>1.25</v>
      </c>
      <c r="T9" s="78">
        <f t="shared" ref="T9" si="16">IF(L9="X",$X9/$R9,0)</f>
        <v>1</v>
      </c>
      <c r="U9" s="78">
        <f t="shared" ref="U9" si="17">IF(M9="X",$Y9/$R9,0)</f>
        <v>1.25</v>
      </c>
      <c r="V9" s="78">
        <f t="shared" ref="V9" si="18">IF(N9="X",$Z9/$R9,0)</f>
        <v>1</v>
      </c>
      <c r="W9" s="86">
        <v>5</v>
      </c>
      <c r="X9" s="86">
        <v>4</v>
      </c>
      <c r="Y9" s="86">
        <v>5</v>
      </c>
      <c r="Z9" s="86">
        <v>4</v>
      </c>
      <c r="AA9" s="87">
        <f t="shared" si="6"/>
        <v>4.5</v>
      </c>
      <c r="AB9" s="74">
        <f t="shared" si="7"/>
        <v>13.5</v>
      </c>
      <c r="AC9" s="127" t="str">
        <f t="shared" si="8"/>
        <v>MEDIO</v>
      </c>
    </row>
    <row r="10" spans="2:39" ht="159" customHeight="1" x14ac:dyDescent="0.3">
      <c r="B10" s="71"/>
      <c r="C10" s="71" t="s">
        <v>14</v>
      </c>
      <c r="D10" s="71" t="s">
        <v>35</v>
      </c>
      <c r="E10" s="71">
        <f t="shared" ref="E10" si="19">ROW(C10)-6</f>
        <v>4</v>
      </c>
      <c r="F10" s="71" t="s">
        <v>231</v>
      </c>
      <c r="G10" s="71" t="s">
        <v>52</v>
      </c>
      <c r="H10" s="88" t="str">
        <f>IFERROR(VLOOKUP($C10,Tablas1!$B$3:$C$25,2,0),"ERROR")</f>
        <v>LAFT2</v>
      </c>
      <c r="I10" s="89" t="str">
        <f>IFERROR(VLOOKUP(G10,Tablas1!$H$2:$I$10,2,0),"ERROR")</f>
        <v>FAC8</v>
      </c>
      <c r="J10" s="88" t="s">
        <v>232</v>
      </c>
      <c r="K10" s="73" t="s">
        <v>154</v>
      </c>
      <c r="L10" s="73" t="s">
        <v>154</v>
      </c>
      <c r="M10" s="73" t="s">
        <v>154</v>
      </c>
      <c r="N10" s="73" t="s">
        <v>154</v>
      </c>
      <c r="O10" s="72" t="s">
        <v>233</v>
      </c>
      <c r="P10" s="72" t="s">
        <v>234</v>
      </c>
      <c r="Q10" s="70">
        <v>3</v>
      </c>
      <c r="R10" s="72">
        <f t="shared" ref="R10" si="20">COUNTIF(K10:N10,"X")</f>
        <v>4</v>
      </c>
      <c r="S10" s="78">
        <f t="shared" ref="S10" si="21">IF(K10="X",$W10/$R10,0)</f>
        <v>1.25</v>
      </c>
      <c r="T10" s="78">
        <f t="shared" ref="T10" si="22">IF(L10="X",$X10/$R10,0)</f>
        <v>0.75</v>
      </c>
      <c r="U10" s="78">
        <f t="shared" ref="U10" si="23">IF(M10="X",$Y10/$R10,0)</f>
        <v>1.25</v>
      </c>
      <c r="V10" s="78">
        <f t="shared" ref="V10" si="24">IF(N10="X",$Z10/$R10,0)</f>
        <v>1</v>
      </c>
      <c r="W10" s="86">
        <v>5</v>
      </c>
      <c r="X10" s="86">
        <v>3</v>
      </c>
      <c r="Y10" s="86">
        <v>5</v>
      </c>
      <c r="Z10" s="86">
        <v>4</v>
      </c>
      <c r="AA10" s="87">
        <f t="shared" si="6"/>
        <v>4.25</v>
      </c>
      <c r="AB10" s="74">
        <f t="shared" si="7"/>
        <v>12.75</v>
      </c>
      <c r="AC10" s="127" t="str">
        <f t="shared" si="8"/>
        <v>MEDIO</v>
      </c>
    </row>
    <row r="11" spans="2:39" ht="172" customHeight="1" x14ac:dyDescent="0.3">
      <c r="B11" s="71"/>
      <c r="C11" s="71" t="s">
        <v>64</v>
      </c>
      <c r="D11" s="71" t="s">
        <v>64</v>
      </c>
      <c r="E11" s="71">
        <f t="shared" ref="E11" si="25">ROW(C11)-6</f>
        <v>5</v>
      </c>
      <c r="F11" s="71" t="s">
        <v>235</v>
      </c>
      <c r="G11" s="71" t="s">
        <v>30</v>
      </c>
      <c r="H11" s="88" t="str">
        <f>IFERROR(VLOOKUP($C11,Tablas1!$B$3:$C$25,2,0),"ERROR")</f>
        <v>LAFT18</v>
      </c>
      <c r="I11" s="89" t="str">
        <f>IFERROR(VLOOKUP(G11,Tablas1!$H$2:$I$10,2,0),"ERROR")</f>
        <v>FAC4</v>
      </c>
      <c r="J11" s="88" t="s">
        <v>236</v>
      </c>
      <c r="K11" s="73" t="s">
        <v>154</v>
      </c>
      <c r="L11" s="73" t="s">
        <v>154</v>
      </c>
      <c r="M11" s="73" t="s">
        <v>154</v>
      </c>
      <c r="N11" s="73" t="s">
        <v>154</v>
      </c>
      <c r="O11" s="72" t="s">
        <v>237</v>
      </c>
      <c r="P11" s="72" t="s">
        <v>238</v>
      </c>
      <c r="Q11" s="70">
        <v>4</v>
      </c>
      <c r="R11" s="72">
        <f t="shared" ref="R11" si="26">COUNTIF(K11:N11,"X")</f>
        <v>4</v>
      </c>
      <c r="S11" s="78">
        <f t="shared" ref="S11" si="27">IF(K11="X",$W11/$R11,0)</f>
        <v>1.25</v>
      </c>
      <c r="T11" s="78">
        <f t="shared" ref="T11" si="28">IF(L11="X",$X11/$R11,0)</f>
        <v>1.25</v>
      </c>
      <c r="U11" s="78">
        <f t="shared" ref="U11" si="29">IF(M11="X",$Y11/$R11,0)</f>
        <v>1.25</v>
      </c>
      <c r="V11" s="78">
        <f t="shared" ref="V11" si="30">IF(N11="X",$Z11/$R11,0)</f>
        <v>1.25</v>
      </c>
      <c r="W11" s="86">
        <v>5</v>
      </c>
      <c r="X11" s="86">
        <v>5</v>
      </c>
      <c r="Y11" s="86">
        <v>5</v>
      </c>
      <c r="Z11" s="86">
        <v>5</v>
      </c>
      <c r="AA11" s="87">
        <f t="shared" si="6"/>
        <v>5</v>
      </c>
      <c r="AB11" s="74">
        <f t="shared" si="7"/>
        <v>20</v>
      </c>
      <c r="AC11" s="127" t="str">
        <f t="shared" si="8"/>
        <v>EXTREMO</v>
      </c>
    </row>
    <row r="12" spans="2:39" ht="162" customHeight="1" x14ac:dyDescent="0.3">
      <c r="B12" s="71"/>
      <c r="C12" s="71" t="s">
        <v>74</v>
      </c>
      <c r="D12" s="71" t="s">
        <v>47</v>
      </c>
      <c r="E12" s="71">
        <f t="shared" ref="E12:E14" si="31">ROW(C12)-6</f>
        <v>6</v>
      </c>
      <c r="F12" s="71" t="s">
        <v>239</v>
      </c>
      <c r="G12" s="71" t="s">
        <v>24</v>
      </c>
      <c r="H12" s="88" t="str">
        <f>IFERROR(VLOOKUP($C12,Tablas1!$B$3:$C$25,2,0),"ERROR")</f>
        <v>LAFT19</v>
      </c>
      <c r="I12" s="89" t="str">
        <f>IFERROR(VLOOKUP(G12,Tablas1!$H$2:$I$10,2,0),"ERROR")</f>
        <v>FAC3</v>
      </c>
      <c r="J12" s="88" t="s">
        <v>240</v>
      </c>
      <c r="K12" s="73" t="s">
        <v>154</v>
      </c>
      <c r="L12" s="73" t="s">
        <v>154</v>
      </c>
      <c r="M12" s="73" t="s">
        <v>154</v>
      </c>
      <c r="N12" s="73" t="s">
        <v>154</v>
      </c>
      <c r="O12" s="71" t="s">
        <v>241</v>
      </c>
      <c r="P12" s="72" t="s">
        <v>242</v>
      </c>
      <c r="Q12" s="70">
        <v>3</v>
      </c>
      <c r="R12" s="72">
        <f t="shared" ref="R12" si="32">COUNTIF(K12:N12,"X")</f>
        <v>4</v>
      </c>
      <c r="S12" s="78">
        <f t="shared" ref="S12" si="33">IF(K12="X",$W12/$R12,0)</f>
        <v>0.25</v>
      </c>
      <c r="T12" s="78">
        <f t="shared" ref="T12" si="34">IF(L12="X",$X12/$R12,0)</f>
        <v>1.25</v>
      </c>
      <c r="U12" s="78">
        <f t="shared" ref="U12" si="35">IF(M12="X",$Y12/$R12,0)</f>
        <v>1.25</v>
      </c>
      <c r="V12" s="78">
        <f t="shared" ref="V12" si="36">IF(N12="X",$Z12/$R12,0)</f>
        <v>0.5</v>
      </c>
      <c r="W12" s="86">
        <v>1</v>
      </c>
      <c r="X12" s="86">
        <v>5</v>
      </c>
      <c r="Y12" s="86">
        <v>5</v>
      </c>
      <c r="Z12" s="86">
        <v>2</v>
      </c>
      <c r="AA12" s="87">
        <f t="shared" si="6"/>
        <v>3.25</v>
      </c>
      <c r="AB12" s="74">
        <f t="shared" si="7"/>
        <v>9.75</v>
      </c>
      <c r="AC12" s="127" t="str">
        <f t="shared" si="8"/>
        <v>MEDIO</v>
      </c>
    </row>
    <row r="13" spans="2:39" ht="155.5" customHeight="1" x14ac:dyDescent="0.3">
      <c r="B13" s="71"/>
      <c r="C13" s="71" t="s">
        <v>45</v>
      </c>
      <c r="D13" s="71" t="s">
        <v>45</v>
      </c>
      <c r="E13" s="71">
        <f t="shared" si="31"/>
        <v>7</v>
      </c>
      <c r="F13" s="71" t="s">
        <v>243</v>
      </c>
      <c r="G13" s="71" t="s">
        <v>17</v>
      </c>
      <c r="H13" s="88" t="str">
        <f>IFERROR(VLOOKUP($C13,Tablas1!$B$3:$C$25,2,0),"ERROR")</f>
        <v>LAFT7</v>
      </c>
      <c r="I13" s="89" t="str">
        <f>IFERROR(VLOOKUP(G13,Tablas1!$H$2:$I$10,2,0),"ERROR")</f>
        <v>FAC2</v>
      </c>
      <c r="J13" s="88" t="s">
        <v>244</v>
      </c>
      <c r="K13" s="73" t="s">
        <v>154</v>
      </c>
      <c r="L13" s="73" t="s">
        <v>154</v>
      </c>
      <c r="M13" s="73" t="s">
        <v>154</v>
      </c>
      <c r="N13" s="73" t="s">
        <v>154</v>
      </c>
      <c r="O13" s="72" t="s">
        <v>245</v>
      </c>
      <c r="P13" s="72" t="s">
        <v>246</v>
      </c>
      <c r="Q13" s="70">
        <v>4</v>
      </c>
      <c r="R13" s="72">
        <f t="shared" ref="R13:R14" si="37">COUNTIF(K13:N13,"X")</f>
        <v>4</v>
      </c>
      <c r="S13" s="78">
        <f t="shared" ref="S13:S14" si="38">IF(K13="X",$W13/$R13,0)</f>
        <v>1.25</v>
      </c>
      <c r="T13" s="78">
        <f t="shared" ref="T13:T14" si="39">IF(L13="X",$X13/$R13,0)</f>
        <v>1.25</v>
      </c>
      <c r="U13" s="78">
        <f t="shared" ref="U13:U14" si="40">IF(M13="X",$Y13/$R13,0)</f>
        <v>1.25</v>
      </c>
      <c r="V13" s="78">
        <f t="shared" ref="V13:V14" si="41">IF(N13="X",$Z13/$R13,0)</f>
        <v>0.25</v>
      </c>
      <c r="W13" s="86">
        <v>5</v>
      </c>
      <c r="X13" s="86">
        <v>5</v>
      </c>
      <c r="Y13" s="86">
        <v>5</v>
      </c>
      <c r="Z13" s="86">
        <v>1</v>
      </c>
      <c r="AA13" s="87">
        <f t="shared" si="6"/>
        <v>4</v>
      </c>
      <c r="AB13" s="74">
        <f t="shared" si="7"/>
        <v>16</v>
      </c>
      <c r="AC13" s="127" t="str">
        <f t="shared" si="8"/>
        <v>ALTO</v>
      </c>
    </row>
    <row r="14" spans="2:39" ht="157.5" customHeight="1" x14ac:dyDescent="0.3">
      <c r="B14" s="71"/>
      <c r="C14" s="71" t="s">
        <v>56</v>
      </c>
      <c r="D14" s="71" t="s">
        <v>60</v>
      </c>
      <c r="E14" s="71">
        <f t="shared" si="31"/>
        <v>8</v>
      </c>
      <c r="F14" s="71" t="s">
        <v>247</v>
      </c>
      <c r="G14" s="71" t="s">
        <v>30</v>
      </c>
      <c r="H14" s="88" t="str">
        <f>IFERROR(VLOOKUP($C14,Tablas1!$B$3:$C$25,2,0),"ERROR")</f>
        <v>LAFT12</v>
      </c>
      <c r="I14" s="89" t="str">
        <f>IFERROR(VLOOKUP(G14,Tablas1!$H$2:$I$10,2,0),"ERROR")</f>
        <v>FAC4</v>
      </c>
      <c r="J14" s="88" t="s">
        <v>248</v>
      </c>
      <c r="K14" s="73" t="s">
        <v>154</v>
      </c>
      <c r="L14" s="73" t="s">
        <v>154</v>
      </c>
      <c r="M14" s="73" t="s">
        <v>154</v>
      </c>
      <c r="N14" s="73" t="s">
        <v>154</v>
      </c>
      <c r="O14" s="72" t="s">
        <v>237</v>
      </c>
      <c r="P14" s="72" t="s">
        <v>249</v>
      </c>
      <c r="Q14" s="70">
        <v>3</v>
      </c>
      <c r="R14" s="72">
        <f t="shared" si="37"/>
        <v>4</v>
      </c>
      <c r="S14" s="78">
        <f t="shared" si="38"/>
        <v>0.5</v>
      </c>
      <c r="T14" s="78">
        <f t="shared" si="39"/>
        <v>1</v>
      </c>
      <c r="U14" s="78">
        <f t="shared" si="40"/>
        <v>1</v>
      </c>
      <c r="V14" s="78">
        <f t="shared" si="41"/>
        <v>1.25</v>
      </c>
      <c r="W14" s="86">
        <v>2</v>
      </c>
      <c r="X14" s="86">
        <v>4</v>
      </c>
      <c r="Y14" s="86">
        <v>4</v>
      </c>
      <c r="Z14" s="86">
        <v>5</v>
      </c>
      <c r="AA14" s="87">
        <f t="shared" si="6"/>
        <v>3.75</v>
      </c>
      <c r="AB14" s="74">
        <f t="shared" si="7"/>
        <v>11.25</v>
      </c>
      <c r="AC14" s="127" t="str">
        <f t="shared" si="8"/>
        <v>MEDIO</v>
      </c>
    </row>
    <row r="15" spans="2:39" ht="181.5" customHeight="1" x14ac:dyDescent="0.3">
      <c r="B15" s="71"/>
      <c r="C15" s="71" t="s">
        <v>56</v>
      </c>
      <c r="D15" s="71" t="s">
        <v>56</v>
      </c>
      <c r="E15" s="71">
        <f t="shared" ref="E15" si="42">ROW(C15)-6</f>
        <v>9</v>
      </c>
      <c r="F15" s="71" t="s">
        <v>250</v>
      </c>
      <c r="G15" s="71" t="s">
        <v>37</v>
      </c>
      <c r="H15" s="88" t="str">
        <f>IFERROR(VLOOKUP($C15,Tablas1!$B$3:$C$25,2,0),"ERROR")</f>
        <v>LAFT12</v>
      </c>
      <c r="I15" s="89" t="str">
        <f>IFERROR(VLOOKUP(G15,Tablas1!$H$2:$I$10,2,0),"ERROR")</f>
        <v>FAC5</v>
      </c>
      <c r="J15" s="88" t="s">
        <v>251</v>
      </c>
      <c r="K15" s="73" t="s">
        <v>154</v>
      </c>
      <c r="L15" s="73" t="s">
        <v>154</v>
      </c>
      <c r="M15" s="73" t="s">
        <v>154</v>
      </c>
      <c r="N15" s="73" t="s">
        <v>154</v>
      </c>
      <c r="O15" s="72" t="s">
        <v>252</v>
      </c>
      <c r="P15" s="72" t="s">
        <v>253</v>
      </c>
      <c r="Q15" s="70">
        <v>4</v>
      </c>
      <c r="R15" s="72">
        <f t="shared" ref="R15" si="43">COUNTIF(K15:N15,"X")</f>
        <v>4</v>
      </c>
      <c r="S15" s="78">
        <f t="shared" ref="S15" si="44">IF(K15="X",$W15/$R15,0)</f>
        <v>0.25</v>
      </c>
      <c r="T15" s="78">
        <f t="shared" ref="T15" si="45">IF(L15="X",$X15/$R15,0)</f>
        <v>1.25</v>
      </c>
      <c r="U15" s="78">
        <f t="shared" ref="U15" si="46">IF(M15="X",$Y15/$R15,0)</f>
        <v>1.25</v>
      </c>
      <c r="V15" s="78">
        <f t="shared" ref="V15" si="47">IF(N15="X",$Z15/$R15,0)</f>
        <v>1.25</v>
      </c>
      <c r="W15" s="86">
        <v>1</v>
      </c>
      <c r="X15" s="86">
        <v>5</v>
      </c>
      <c r="Y15" s="86">
        <v>5</v>
      </c>
      <c r="Z15" s="86">
        <v>5</v>
      </c>
      <c r="AA15" s="87">
        <f t="shared" ref="AA15" si="48">SUM(S15:V15)</f>
        <v>4</v>
      </c>
      <c r="AB15" s="74">
        <f t="shared" ref="AB15" si="49">Q15*AA15</f>
        <v>16</v>
      </c>
      <c r="AC15" s="127" t="str">
        <f t="shared" ref="AC15" si="50">IF(AND(AB15&gt;0,AB15&lt;8),"BAJO",IF(AND(AB15&gt;=8,AB15&lt;14),"MEDIO",IF(AND(AB15&gt;=14,AB15&lt;20),"ALTO",IF(AND(AB15&gt;=20,AB15&lt;26),"EXTREMO",""))))</f>
        <v>ALTO</v>
      </c>
    </row>
    <row r="16" spans="2:39" ht="136.5" customHeight="1" x14ac:dyDescent="0.3">
      <c r="B16" s="71"/>
      <c r="C16" s="71" t="s">
        <v>9</v>
      </c>
      <c r="D16" s="71" t="s">
        <v>9</v>
      </c>
      <c r="E16" s="71">
        <f t="shared" ref="E16" si="51">ROW(C16)-6</f>
        <v>10</v>
      </c>
      <c r="F16" s="71" t="s">
        <v>254</v>
      </c>
      <c r="G16" s="71" t="s">
        <v>37</v>
      </c>
      <c r="H16" s="88" t="str">
        <f>IFERROR(VLOOKUP($C16,Tablas1!$B$3:$C$25,2,0),"ERROR")</f>
        <v>LAFT22</v>
      </c>
      <c r="I16" s="89" t="str">
        <f>IFERROR(VLOOKUP(G16,Tablas1!$H$2:$I$10,2,0),"ERROR")</f>
        <v>FAC5</v>
      </c>
      <c r="J16" s="139" t="s">
        <v>255</v>
      </c>
      <c r="K16" s="73" t="s">
        <v>154</v>
      </c>
      <c r="L16" s="73" t="s">
        <v>154</v>
      </c>
      <c r="M16" s="73" t="s">
        <v>154</v>
      </c>
      <c r="N16" s="73" t="s">
        <v>154</v>
      </c>
      <c r="O16" s="72" t="s">
        <v>256</v>
      </c>
      <c r="P16" s="72" t="s">
        <v>257</v>
      </c>
      <c r="Q16" s="70">
        <v>3</v>
      </c>
      <c r="R16" s="72">
        <f t="shared" ref="R16" si="52">COUNTIF(K16:N16,"X")</f>
        <v>4</v>
      </c>
      <c r="S16" s="78">
        <f t="shared" ref="S16" si="53">IF(K16="X",$W16/$R16,0)</f>
        <v>1.25</v>
      </c>
      <c r="T16" s="78">
        <f t="shared" ref="T16" si="54">IF(L16="X",$X16/$R16,0)</f>
        <v>1.25</v>
      </c>
      <c r="U16" s="78">
        <f t="shared" ref="U16" si="55">IF(M16="X",$Y16/$R16,0)</f>
        <v>1.25</v>
      </c>
      <c r="V16" s="78">
        <f t="shared" ref="V16" si="56">IF(N16="X",$Z16/$R16,0)</f>
        <v>1.25</v>
      </c>
      <c r="W16" s="86">
        <v>5</v>
      </c>
      <c r="X16" s="86">
        <v>5</v>
      </c>
      <c r="Y16" s="86">
        <v>5</v>
      </c>
      <c r="Z16" s="86">
        <v>5</v>
      </c>
      <c r="AA16" s="87">
        <f t="shared" ref="AA16" si="57">SUM(S16:V16)</f>
        <v>5</v>
      </c>
      <c r="AB16" s="74">
        <f t="shared" ref="AB16" si="58">Q16*AA16</f>
        <v>15</v>
      </c>
      <c r="AC16" s="127" t="str">
        <f t="shared" ref="AC16" si="59">IF(AND(AB16&gt;0,AB16&lt;8),"BAJO",IF(AND(AB16&gt;=8,AB16&lt;14),"MEDIO",IF(AND(AB16&gt;=14,AB16&lt;20),"ALTO",IF(AND(AB16&gt;=20,AB16&lt;26),"EXTREMO",""))))</f>
        <v>ALTO</v>
      </c>
    </row>
    <row r="17" spans="2:29" ht="205" customHeight="1" x14ac:dyDescent="0.3">
      <c r="B17" s="71"/>
      <c r="C17" s="71" t="s">
        <v>76</v>
      </c>
      <c r="D17" s="71" t="s">
        <v>22</v>
      </c>
      <c r="E17" s="71">
        <f t="shared" ref="E17" si="60">ROW(C17)-6</f>
        <v>11</v>
      </c>
      <c r="F17" s="71" t="s">
        <v>258</v>
      </c>
      <c r="G17" s="71" t="s">
        <v>43</v>
      </c>
      <c r="H17" s="88" t="str">
        <f>IFERROR(VLOOKUP($C17,Tablas1!$B$3:$C$25,2,0),"ERROR")</f>
        <v>LAFT20</v>
      </c>
      <c r="I17" s="89" t="str">
        <f>IFERROR(VLOOKUP(G17,Tablas1!$H$2:$I$10,2,0),"ERROR")</f>
        <v>FAC6</v>
      </c>
      <c r="J17" s="88" t="s">
        <v>259</v>
      </c>
      <c r="K17" s="73" t="s">
        <v>154</v>
      </c>
      <c r="L17" s="73" t="s">
        <v>154</v>
      </c>
      <c r="M17" s="73" t="s">
        <v>154</v>
      </c>
      <c r="N17" s="73" t="s">
        <v>154</v>
      </c>
      <c r="O17" s="72" t="s">
        <v>260</v>
      </c>
      <c r="P17" s="72" t="s">
        <v>226</v>
      </c>
      <c r="Q17" s="70">
        <v>5</v>
      </c>
      <c r="R17" s="72">
        <f t="shared" ref="R17" si="61">COUNTIF(K17:N17,"X")</f>
        <v>4</v>
      </c>
      <c r="S17" s="78">
        <f t="shared" ref="S17" si="62">IF(K17="X",$W17/$R17,0)</f>
        <v>1.25</v>
      </c>
      <c r="T17" s="78">
        <f t="shared" ref="T17" si="63">IF(L17="X",$X17/$R17,0)</f>
        <v>1.25</v>
      </c>
      <c r="U17" s="78">
        <f t="shared" ref="U17" si="64">IF(M17="X",$Y17/$R17,0)</f>
        <v>1.25</v>
      </c>
      <c r="V17" s="78">
        <f t="shared" ref="V17" si="65">IF(N17="X",$Z17/$R17,0)</f>
        <v>0.75</v>
      </c>
      <c r="W17" s="86">
        <v>5</v>
      </c>
      <c r="X17" s="86">
        <v>5</v>
      </c>
      <c r="Y17" s="86">
        <v>5</v>
      </c>
      <c r="Z17" s="86">
        <v>3</v>
      </c>
      <c r="AA17" s="87">
        <f t="shared" ref="AA17" si="66">SUM(S17:V17)</f>
        <v>4.5</v>
      </c>
      <c r="AB17" s="74">
        <f t="shared" ref="AB17" si="67">Q17*AA17</f>
        <v>22.5</v>
      </c>
      <c r="AC17" s="127" t="str">
        <f t="shared" ref="AC17" si="68">IF(AND(AB17&gt;0,AB17&lt;8),"BAJO",IF(AND(AB17&gt;=8,AB17&lt;14),"MEDIO",IF(AND(AB17&gt;=14,AB17&lt;20),"ALTO",IF(AND(AB17&gt;=20,AB17&lt;26),"EXTREMO",""))))</f>
        <v>EXTREMO</v>
      </c>
    </row>
    <row r="18" spans="2:29" ht="135.65" customHeight="1" x14ac:dyDescent="0.3">
      <c r="B18" s="71"/>
      <c r="C18" s="71" t="s">
        <v>69</v>
      </c>
      <c r="D18" s="71" t="s">
        <v>22</v>
      </c>
      <c r="E18" s="71">
        <f t="shared" ref="E18" si="69">ROW(C18)-6</f>
        <v>12</v>
      </c>
      <c r="F18" s="71" t="s">
        <v>261</v>
      </c>
      <c r="G18" s="71" t="s">
        <v>37</v>
      </c>
      <c r="H18" s="88" t="str">
        <f>IFERROR(VLOOKUP($C18,Tablas1!$B$3:$C$25,2,0),"ERROR")</f>
        <v>LAFT15</v>
      </c>
      <c r="I18" s="89" t="str">
        <f>IFERROR(VLOOKUP(G18,Tablas1!$H$2:$I$10,2,0),"ERROR")</f>
        <v>FAC5</v>
      </c>
      <c r="J18" s="88" t="s">
        <v>262</v>
      </c>
      <c r="K18" s="73" t="s">
        <v>154</v>
      </c>
      <c r="L18" s="73" t="s">
        <v>154</v>
      </c>
      <c r="M18" s="73" t="s">
        <v>154</v>
      </c>
      <c r="N18" s="73" t="s">
        <v>154</v>
      </c>
      <c r="O18" s="72" t="s">
        <v>263</v>
      </c>
      <c r="P18" s="72" t="s">
        <v>264</v>
      </c>
      <c r="Q18" s="70">
        <v>4</v>
      </c>
      <c r="R18" s="72">
        <f t="shared" ref="R18" si="70">COUNTIF(K18:N18,"X")</f>
        <v>4</v>
      </c>
      <c r="S18" s="78">
        <f t="shared" ref="S18" si="71">IF(K18="X",$W18/$R18,0)</f>
        <v>1.25</v>
      </c>
      <c r="T18" s="78">
        <f t="shared" ref="T18" si="72">IF(L18="X",$X18/$R18,0)</f>
        <v>1.25</v>
      </c>
      <c r="U18" s="78">
        <f t="shared" ref="U18" si="73">IF(M18="X",$Y18/$R18,0)</f>
        <v>1.25</v>
      </c>
      <c r="V18" s="78">
        <f t="shared" ref="V18" si="74">IF(N18="X",$Z18/$R18,0)</f>
        <v>1.25</v>
      </c>
      <c r="W18" s="86">
        <v>5</v>
      </c>
      <c r="X18" s="86">
        <v>5</v>
      </c>
      <c r="Y18" s="86">
        <v>5</v>
      </c>
      <c r="Z18" s="86">
        <v>5</v>
      </c>
      <c r="AA18" s="87">
        <f t="shared" ref="AA18" si="75">SUM(S18:V18)</f>
        <v>5</v>
      </c>
      <c r="AB18" s="74">
        <f t="shared" ref="AB18" si="76">Q18*AA18</f>
        <v>20</v>
      </c>
      <c r="AC18" s="127" t="str">
        <f t="shared" ref="AC18" si="77">IF(AND(AB18&gt;0,AB18&lt;8),"BAJO",IF(AND(AB18&gt;=8,AB18&lt;14),"MEDIO",IF(AND(AB18&gt;=14,AB18&lt;20),"ALTO",IF(AND(AB18&gt;=20,AB18&lt;26),"EXTREMO",""))))</f>
        <v>EXTREMO</v>
      </c>
    </row>
    <row r="19" spans="2:29" ht="172" customHeight="1" x14ac:dyDescent="0.3">
      <c r="B19" s="71"/>
      <c r="C19" s="71" t="s">
        <v>76</v>
      </c>
      <c r="D19" s="71" t="s">
        <v>22</v>
      </c>
      <c r="E19" s="71">
        <f t="shared" ref="E19" si="78">ROW(C19)-6</f>
        <v>13</v>
      </c>
      <c r="F19" s="71" t="s">
        <v>265</v>
      </c>
      <c r="G19" s="71" t="s">
        <v>48</v>
      </c>
      <c r="H19" s="88" t="str">
        <f>IFERROR(VLOOKUP($C19,Tablas1!$B$3:$C$25,2,0),"ERROR")</f>
        <v>LAFT20</v>
      </c>
      <c r="I19" s="89" t="str">
        <f>IFERROR(VLOOKUP(G19,Tablas1!$H$2:$I$10,2,0),"ERROR")</f>
        <v>FAC7</v>
      </c>
      <c r="J19" s="88" t="s">
        <v>266</v>
      </c>
      <c r="K19" s="73" t="s">
        <v>154</v>
      </c>
      <c r="L19" s="73" t="s">
        <v>154</v>
      </c>
      <c r="M19" s="73" t="s">
        <v>154</v>
      </c>
      <c r="N19" s="73" t="s">
        <v>154</v>
      </c>
      <c r="O19" s="72" t="s">
        <v>267</v>
      </c>
      <c r="P19" s="72" t="s">
        <v>268</v>
      </c>
      <c r="Q19" s="70">
        <v>5</v>
      </c>
      <c r="R19" s="72">
        <f t="shared" ref="R19" si="79">COUNTIF(K19:N19,"X")</f>
        <v>4</v>
      </c>
      <c r="S19" s="78">
        <f t="shared" ref="S19" si="80">IF(K19="X",$W19/$R19,0)</f>
        <v>1.25</v>
      </c>
      <c r="T19" s="78">
        <f t="shared" ref="T19" si="81">IF(L19="X",$X19/$R19,0)</f>
        <v>1.25</v>
      </c>
      <c r="U19" s="78">
        <f t="shared" ref="U19" si="82">IF(M19="X",$Y19/$R19,0)</f>
        <v>1.25</v>
      </c>
      <c r="V19" s="78">
        <f t="shared" ref="V19" si="83">IF(N19="X",$Z19/$R19,0)</f>
        <v>0.75</v>
      </c>
      <c r="W19" s="86">
        <v>5</v>
      </c>
      <c r="X19" s="86">
        <v>5</v>
      </c>
      <c r="Y19" s="86">
        <v>5</v>
      </c>
      <c r="Z19" s="86">
        <v>3</v>
      </c>
      <c r="AA19" s="87">
        <f t="shared" ref="AA19" si="84">SUM(S19:V19)</f>
        <v>4.5</v>
      </c>
      <c r="AB19" s="74">
        <f t="shared" ref="AB19" si="85">Q19*AA19</f>
        <v>22.5</v>
      </c>
      <c r="AC19" s="127" t="str">
        <f t="shared" ref="AC19" si="86">IF(AND(AB19&gt;0,AB19&lt;8),"BAJO",IF(AND(AB19&gt;=8,AB19&lt;14),"MEDIO",IF(AND(AB19&gt;=14,AB19&lt;20),"ALTO",IF(AND(AB19&gt;=20,AB19&lt;26),"EXTREMO",""))))</f>
        <v>EXTREMO</v>
      </c>
    </row>
  </sheetData>
  <dataConsolidate/>
  <mergeCells count="25">
    <mergeCell ref="AC5:AC6"/>
    <mergeCell ref="I5:I6"/>
    <mergeCell ref="D5:D6"/>
    <mergeCell ref="Q4:AC4"/>
    <mergeCell ref="F5:F6"/>
    <mergeCell ref="H5:H6"/>
    <mergeCell ref="P5:P6"/>
    <mergeCell ref="Q5:Q6"/>
    <mergeCell ref="J5:J6"/>
    <mergeCell ref="D2:P2"/>
    <mergeCell ref="Q2:AC2"/>
    <mergeCell ref="B5:B6"/>
    <mergeCell ref="B4:J4"/>
    <mergeCell ref="AA5:AA6"/>
    <mergeCell ref="S5:V5"/>
    <mergeCell ref="B3:AC3"/>
    <mergeCell ref="AB5:AB6"/>
    <mergeCell ref="R5:R6"/>
    <mergeCell ref="W5:Z5"/>
    <mergeCell ref="K4:P4"/>
    <mergeCell ref="K5:N5"/>
    <mergeCell ref="E5:E6"/>
    <mergeCell ref="G5:G6"/>
    <mergeCell ref="O5:O6"/>
    <mergeCell ref="C5:C6"/>
  </mergeCells>
  <phoneticPr fontId="26" type="noConversion"/>
  <conditionalFormatting sqref="E8:E9">
    <cfRule type="duplicateValues" dxfId="116" priority="174"/>
  </conditionalFormatting>
  <conditionalFormatting sqref="AC5:AC19">
    <cfRule type="cellIs" dxfId="115" priority="1" operator="equal">
      <formula>"BAJO"</formula>
    </cfRule>
    <cfRule type="cellIs" dxfId="114" priority="2" operator="equal">
      <formula>"MEDIO"</formula>
    </cfRule>
    <cfRule type="cellIs" dxfId="113" priority="3" operator="equal">
      <formula>"EXTREMO"</formula>
    </cfRule>
    <cfRule type="cellIs" dxfId="112" priority="4" operator="equal">
      <formula>"ALTO"</formula>
    </cfRule>
  </conditionalFormatting>
  <conditionalFormatting sqref="AC7:AC19">
    <cfRule type="cellIs" dxfId="111" priority="7" operator="equal">
      <formula>"EXTREMO"</formula>
    </cfRule>
  </conditionalFormatting>
  <dataValidations xWindow="1060" yWindow="328" count="8">
    <dataValidation type="list" allowBlank="1" showInputMessage="1" showErrorMessage="1" sqref="AB20:AC1048576 Q7:Q19">
      <formula1>"1,2,3,4,5"</formula1>
    </dataValidation>
    <dataValidation type="list" allowBlank="1" showInputMessage="1" showErrorMessage="1" sqref="D20:D1048576">
      <formula1>$E$3:$E$6</formula1>
    </dataValidation>
    <dataValidation type="list" allowBlank="1" showInputMessage="1" showErrorMessage="1" sqref="C20:C1048576">
      <formula1>$C$3:$C$6</formula1>
    </dataValidation>
    <dataValidation type="list" operator="greaterThanOrEqual" allowBlank="1" showInputMessage="1" showErrorMessage="1" sqref="W20:AA1048576">
      <formula1>"0,1,2,3,4,5"</formula1>
    </dataValidation>
    <dataValidation type="list" operator="greaterThanOrEqual" allowBlank="1" showInputMessage="1" showErrorMessage="1" sqref="W7:Z19">
      <formula1>"1,2,3,4,5"</formula1>
    </dataValidation>
    <dataValidation type="list" allowBlank="1" showInputMessage="1" showErrorMessage="1" sqref="K7:N19">
      <formula1>"X"</formula1>
    </dataValidation>
    <dataValidation operator="greaterThanOrEqual" allowBlank="1" showInputMessage="1" showErrorMessage="1" sqref="AA7:AA19"/>
    <dataValidation type="list" allowBlank="1" showInputMessage="1" showErrorMessage="1" sqref="B7:B19">
      <formula1>"Alto,Medio,Bajo"</formula1>
    </dataValidation>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xWindow="1060" yWindow="328" count="6">
        <x14:dataValidation type="list" allowBlank="1" showInputMessage="1" showErrorMessage="1">
          <x14:formula1>
            <xm:f>Tablas1!$C$3:$C$25</xm:f>
          </x14:formula1>
          <xm:sqref>H20:H1048576</xm:sqref>
        </x14:dataValidation>
        <x14:dataValidation type="list" allowBlank="1" showInputMessage="1" showErrorMessage="1">
          <x14:formula1>
            <xm:f>Tablas1!$B$3:$B$25</xm:f>
          </x14:formula1>
          <xm:sqref>C7:C19</xm:sqref>
        </x14:dataValidation>
        <x14:dataValidation type="list" allowBlank="1" showInputMessage="1" showErrorMessage="1">
          <x14:formula1>
            <xm:f>Tablas1!$E$3:$E$14</xm:f>
          </x14:formula1>
          <xm:sqref>D7:D19</xm:sqref>
        </x14:dataValidation>
        <x14:dataValidation type="list" allowBlank="1" showInputMessage="1" showErrorMessage="1">
          <x14:formula1>
            <xm:f>Tablas1!$I$3:$I$9</xm:f>
          </x14:formula1>
          <xm:sqref>I20:I1048576</xm:sqref>
        </x14:dataValidation>
        <x14:dataValidation type="custom" allowBlank="1" showInputMessage="1" showErrorMessage="1">
          <x14:formula1>
            <xm:f>IFERROR(VLOOKUP(#REF!,Tablas1!$H$2:$I$9,2,0),"ERROR")</xm:f>
          </x14:formula1>
          <xm:sqref>I7:I19</xm:sqref>
        </x14:dataValidation>
        <x14:dataValidation type="list" allowBlank="1" showInputMessage="1" showErrorMessage="1">
          <x14:formula1>
            <xm:f>Tablas1!$H$3:$H$9</xm:f>
          </x14:formula1>
          <xm:sqref>G7:G1048576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455CDCAF36124EB13984980D9F8B72" ma:contentTypeVersion="15" ma:contentTypeDescription="Crear nuevo documento." ma:contentTypeScope="" ma:versionID="28e65c3150b3da6248e4e0d7385e1fe3">
  <xsd:schema xmlns:xsd="http://www.w3.org/2001/XMLSchema" xmlns:xs="http://www.w3.org/2001/XMLSchema" xmlns:p="http://schemas.microsoft.com/office/2006/metadata/properties" xmlns:ns2="4820a61c-938d-4a22-a923-c3c687ef55d9" xmlns:ns3="d0162ee6-4e66-4e14-a6e7-b58e16b08be8" targetNamespace="http://schemas.microsoft.com/office/2006/metadata/properties" ma:root="true" ma:fieldsID="a4e58fc536f6ab875527bd1d76226cb7" ns2:_="" ns3:_="">
    <xsd:import namespace="4820a61c-938d-4a22-a923-c3c687ef55d9"/>
    <xsd:import namespace="d0162ee6-4e66-4e14-a6e7-b58e16b08be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0a61c-938d-4a22-a923-c3c687ef5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aaa5c3e5-fae2-43c7-bc24-547b63141e2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162ee6-4e66-4e14-a6e7-b58e16b08be8"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2c456bd1-e2ea-4dc4-8abe-aaf919d7ea17}" ma:internalName="TaxCatchAll" ma:showField="CatchAllData" ma:web="d0162ee6-4e66-4e14-a6e7-b58e16b08b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20a61c-938d-4a22-a923-c3c687ef55d9">
      <Terms xmlns="http://schemas.microsoft.com/office/infopath/2007/PartnerControls"/>
    </lcf76f155ced4ddcb4097134ff3c332f>
    <TaxCatchAll xmlns="d0162ee6-4e66-4e14-a6e7-b58e16b08be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C89065-BEAA-4F3D-9B58-C43212803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0a61c-938d-4a22-a923-c3c687ef55d9"/>
    <ds:schemaRef ds:uri="d0162ee6-4e66-4e14-a6e7-b58e16b08b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956E84-A0B9-440B-BA79-440D716E3B4B}">
  <ds:schemaRefs>
    <ds:schemaRef ds:uri="http://schemas.microsoft.com/office/2006/metadata/properties"/>
    <ds:schemaRef ds:uri="http://schemas.microsoft.com/office/infopath/2007/PartnerControls"/>
    <ds:schemaRef ds:uri="4820a61c-938d-4a22-a923-c3c687ef55d9"/>
    <ds:schemaRef ds:uri="d0162ee6-4e66-4e14-a6e7-b58e16b08be8"/>
  </ds:schemaRefs>
</ds:datastoreItem>
</file>

<file path=customXml/itemProps3.xml><?xml version="1.0" encoding="utf-8"?>
<ds:datastoreItem xmlns:ds="http://schemas.openxmlformats.org/officeDocument/2006/customXml" ds:itemID="{249906C5-870B-43F0-B5E7-4FCEA0737B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LA-FT-FPADM</vt:lpstr>
      <vt:lpstr>Tablas1</vt:lpstr>
      <vt:lpstr>Puntuaciones</vt:lpstr>
      <vt:lpstr>Hoja2</vt:lpstr>
      <vt:lpstr>Hoja3</vt:lpstr>
      <vt:lpstr>Hoja4</vt:lpstr>
      <vt:lpstr>Hoja5</vt:lpstr>
      <vt:lpstr>Hoja6</vt:lpstr>
      <vt:lpstr>R I</vt:lpstr>
      <vt:lpstr>R I (2)</vt:lpstr>
      <vt:lpstr>RI Consolidado por FR</vt:lpstr>
      <vt:lpstr>Controles</vt:lpstr>
      <vt:lpstr>R R</vt:lpstr>
      <vt:lpstr>RR Consolidado por FR</vt:lpstr>
      <vt:lpstr>Mapa de riesgo</vt:lpstr>
      <vt:lpstr>Tablas1!Área_de_impresión</vt:lpstr>
      <vt:lpstr>CODIGOPROCESO</vt:lpstr>
      <vt:lpstr>'R I (2)'!codr</vt:lpstr>
      <vt:lpstr>codr</vt:lpstr>
      <vt:lpstr>CONSECUENCIAS</vt:lpstr>
      <vt:lpstr>ctrl</vt:lpstr>
      <vt:lpstr>ESTADOS</vt:lpstr>
      <vt:lpstr>Factorderiesgo</vt:lpstr>
      <vt:lpstr>FACTORES</vt:lpstr>
      <vt:lpstr>Factoresriesgo</vt:lpstr>
      <vt:lpstr>pr</vt:lpstr>
      <vt:lpstr>PROCESOS</vt:lpstr>
      <vt:lpstr>RIEGO</vt:lpstr>
      <vt:lpstr>SUBPROCESOS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PABLO LATORRE</dc:creator>
  <cp:keywords/>
  <dc:description/>
  <cp:lastModifiedBy>Yurani Ramos López</cp:lastModifiedBy>
  <cp:revision/>
  <dcterms:created xsi:type="dcterms:W3CDTF">2011-04-25T19:59:14Z</dcterms:created>
  <dcterms:modified xsi:type="dcterms:W3CDTF">2024-07-09T20:11:57Z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0x010100FC455CDCAF36124EB13984980D9F8B72</vt:lpwstr>
  </property>
  <property fmtid="{D5CDD505-2E9C-101B-9397-08002B2CF9AE}" pid="3" name="MediaServiceImageTags">
    <vt:lpwstr/>
  </property>
</Properties>
</file>